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pivotCacheDefinition+xml" PartName="/xl/pivotCache/pivotCacheDefinition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pivotTable+xml" PartName="/xl/pivotTables/pivotTable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rket_Sentiment" sheetId="1" r:id="rId4"/>
    <sheet state="visible" name="Query_RTOptions" sheetId="2" r:id="rId5"/>
    <sheet state="visible" name="Unusual_Options" sheetId="3" r:id="rId6"/>
    <sheet state="visible" name="Realtime_Options" sheetId="4" r:id="rId7"/>
    <sheet state="visible" name="Dark_Pool" sheetId="5" r:id="rId8"/>
    <sheet state="visible" name="Alpha_Ai" sheetId="6" r:id="rId9"/>
    <sheet state="visible" name="Snapshot" sheetId="7" r:id="rId10"/>
    <sheet state="visible" name="How_To_Interpret" sheetId="8" r:id="rId11"/>
    <sheet state="visible" name="Ref_sheet" sheetId="9" r:id="rId12"/>
  </sheets>
  <definedNames>
    <definedName hidden="1" localSheetId="1" name="_xlnm._FilterDatabase">Query_RTOptions!$A$2:$AB$34</definedName>
    <definedName hidden="1" localSheetId="6" name="Z_09A0A77C_57F8_427C_BB2B_86F771C57C5F_.wvu.FilterData">Snapshot!$B$2</definedName>
    <definedName hidden="1" localSheetId="3" name="Z_09A0A77C_57F8_427C_BB2B_86F771C57C5F_.wvu.FilterData">Realtime_Options!$J$2:$J$499</definedName>
    <definedName hidden="1" localSheetId="6" name="Z_C2A58AB1_EAA8_4392_96FE_BDEBD5B310D7_.wvu.FilterData">Snapshot!$H$1:$I$1000</definedName>
    <definedName hidden="1" localSheetId="3" name="Z_C2A58AB1_EAA8_4392_96FE_BDEBD5B310D7_.wvu.FilterData">Realtime_Options!$A$1:$S$499</definedName>
    <definedName hidden="1" localSheetId="3" name="Z_D450D817_EBF0_4EFC_8376_F2E7BACA5AB9_.wvu.FilterData">Realtime_Options!$A$1:$T$499</definedName>
    <definedName hidden="1" localSheetId="3" name="Z_B6E1F605_C7B8_4E6F_8E57_45F13524847D_.wvu.FilterData">Realtime_Options!$A$1:$T$499</definedName>
  </definedNames>
  <calcPr/>
  <customWorkbookViews>
    <customWorkbookView activeSheetId="0" maximized="1" tabRatio="600" windowHeight="0" windowWidth="0" guid="{D450D817-EBF0-4EFC-8376-F2E7BACA5AB9}" name="Filter 4"/>
    <customWorkbookView activeSheetId="0" maximized="1" tabRatio="600" windowHeight="0" windowWidth="0" guid="{C2A58AB1-EAA8-4392-96FE-BDEBD5B310D7}" name="Filter 2"/>
    <customWorkbookView activeSheetId="0" maximized="1" tabRatio="600" windowHeight="0" windowWidth="0" guid="{B6E1F605-C7B8-4E6F-8E57-45F13524847D}" name="Filter 3"/>
    <customWorkbookView activeSheetId="0" maximized="1" tabRatio="600" windowHeight="0" windowWidth="0" guid="{09A0A77C-57F8-427C-BB2B-86F771C57C5F}" name="Filter 1"/>
  </customWorkbookViews>
  <pivotCaches>
    <pivotCache cacheId="0" r:id="rId13"/>
    <pivotCache cacheId="1" r:id="rId14"/>
  </pivotCaches>
</workbook>
</file>

<file path=xl/sharedStrings.xml><?xml version="1.0" encoding="utf-8"?>
<sst xmlns="http://schemas.openxmlformats.org/spreadsheetml/2006/main" count="4994" uniqueCount="467">
  <si>
    <t>Date</t>
  </si>
  <si>
    <t>Ticker to Query Realtime Data -&gt;</t>
  </si>
  <si>
    <t>Time - PST</t>
  </si>
  <si>
    <t>Ticker</t>
  </si>
  <si>
    <t>Expiry</t>
  </si>
  <si>
    <t>Strike</t>
  </si>
  <si>
    <t>Call/Put</t>
  </si>
  <si>
    <t>Spot Price</t>
  </si>
  <si>
    <t>Quantity</t>
  </si>
  <si>
    <t>Price</t>
  </si>
  <si>
    <t>Order Type</t>
  </si>
  <si>
    <t>Volume</t>
  </si>
  <si>
    <t>Open Int</t>
  </si>
  <si>
    <t>Premium Paid</t>
  </si>
  <si>
    <t>Mark</t>
  </si>
  <si>
    <t>nflx</t>
  </si>
  <si>
    <t>Algo Score</t>
  </si>
  <si>
    <t>And you can filter other parameters</t>
  </si>
  <si>
    <t>Sector</t>
  </si>
  <si>
    <t>Unusual</t>
  </si>
  <si>
    <t>Sentiment</t>
  </si>
  <si>
    <t>Golden Sweep</t>
  </si>
  <si>
    <t>Marker</t>
  </si>
  <si>
    <t>Flow Sentiment</t>
  </si>
  <si>
    <t>Sentiment Score</t>
  </si>
  <si>
    <t>Put to Call Ratio</t>
  </si>
  <si>
    <t>Put Flow</t>
  </si>
  <si>
    <t>PUT %</t>
  </si>
  <si>
    <t>Call Flow</t>
  </si>
  <si>
    <t>Call %</t>
  </si>
  <si>
    <t>Bullish</t>
  </si>
  <si>
    <t>SPY</t>
  </si>
  <si>
    <t>PUTS</t>
  </si>
  <si>
    <t>SPLIT</t>
  </si>
  <si>
    <t>ETF/Other</t>
  </si>
  <si>
    <t>bearish</t>
  </si>
  <si>
    <t>[Day Vol is Greater than OI]</t>
  </si>
  <si>
    <t>PINS</t>
  </si>
  <si>
    <t>CALLS</t>
  </si>
  <si>
    <t>SWEEP</t>
  </si>
  <si>
    <t>Technology</t>
  </si>
  <si>
    <t>bullish</t>
  </si>
  <si>
    <t>[Day Vol is Greater than OI, Largest Position of Open Interest]</t>
  </si>
  <si>
    <t>XOP</t>
  </si>
  <si>
    <t>FCX</t>
  </si>
  <si>
    <t>Materials</t>
  </si>
  <si>
    <t>[]</t>
  </si>
  <si>
    <t>XLF</t>
  </si>
  <si>
    <t>BLOCK</t>
  </si>
  <si>
    <t>QQQ</t>
  </si>
  <si>
    <t>LK</t>
  </si>
  <si>
    <t>Consumer Discretionary</t>
  </si>
  <si>
    <t>TLRY</t>
  </si>
  <si>
    <t>Healthcare</t>
  </si>
  <si>
    <t>USO</t>
  </si>
  <si>
    <t>MTCH</t>
  </si>
  <si>
    <t>XLE</t>
  </si>
  <si>
    <t>IRBT</t>
  </si>
  <si>
    <t>Consumer Staples/Goods</t>
  </si>
  <si>
    <t>PTCT</t>
  </si>
  <si>
    <t>AMZN</t>
  </si>
  <si>
    <t>PAYC</t>
  </si>
  <si>
    <t>MSFT</t>
  </si>
  <si>
    <t>BP</t>
  </si>
  <si>
    <t>Energy/Oil &amp; Gas</t>
  </si>
  <si>
    <t>GDDY</t>
  </si>
  <si>
    <t>[Day Vol is Greater than OI, Largest Position of Open Interest, Unusual Order]</t>
  </si>
  <si>
    <t>UBER</t>
  </si>
  <si>
    <t>NIO</t>
  </si>
  <si>
    <t>VSH</t>
  </si>
  <si>
    <t>PTON</t>
  </si>
  <si>
    <t>CLVS</t>
  </si>
  <si>
    <t>MED</t>
  </si>
  <si>
    <t>SPXU</t>
  </si>
  <si>
    <t>HBI</t>
  </si>
  <si>
    <t>MMP</t>
  </si>
  <si>
    <t>INTC</t>
  </si>
  <si>
    <t>IBB</t>
  </si>
  <si>
    <t>CCC</t>
  </si>
  <si>
    <t>Share Quantity</t>
  </si>
  <si>
    <t>Notional - $</t>
  </si>
  <si>
    <t>Large Trade</t>
  </si>
  <si>
    <t>ZNGA</t>
  </si>
  <si>
    <t>Darkpool Order</t>
  </si>
  <si>
    <t>HYG</t>
  </si>
  <si>
    <t>Public Exchange Order</t>
  </si>
  <si>
    <t>ENLC</t>
  </si>
  <si>
    <t>MAT</t>
  </si>
  <si>
    <t>IEMG</t>
  </si>
  <si>
    <t>AMLP</t>
  </si>
  <si>
    <t>F</t>
  </si>
  <si>
    <t>FLEX</t>
  </si>
  <si>
    <t>VGK</t>
  </si>
  <si>
    <t>GLUU</t>
  </si>
  <si>
    <t>TTMI</t>
  </si>
  <si>
    <t>PFGC</t>
  </si>
  <si>
    <t>FPAC</t>
  </si>
  <si>
    <t>ENR</t>
  </si>
  <si>
    <t>CY</t>
  </si>
  <si>
    <t>RLGY</t>
  </si>
  <si>
    <t>XLI</t>
  </si>
  <si>
    <t>XEL</t>
  </si>
  <si>
    <t>GLD</t>
  </si>
  <si>
    <t>TXN</t>
  </si>
  <si>
    <t>GGB</t>
  </si>
  <si>
    <t>CHNG</t>
  </si>
  <si>
    <t>CLF</t>
  </si>
  <si>
    <t>AVDL</t>
  </si>
  <si>
    <t>HBAN</t>
  </si>
  <si>
    <t>ON</t>
  </si>
  <si>
    <t>COG</t>
  </si>
  <si>
    <t>JCI</t>
  </si>
  <si>
    <t>USMV</t>
  </si>
  <si>
    <t>FXI</t>
  </si>
  <si>
    <t>WBC</t>
  </si>
  <si>
    <t>SKT</t>
  </si>
  <si>
    <t>AFL</t>
  </si>
  <si>
    <t>ERIC</t>
  </si>
  <si>
    <t>PRNB</t>
  </si>
  <si>
    <t>IWM</t>
  </si>
  <si>
    <t>VICI</t>
  </si>
  <si>
    <t>LEA</t>
  </si>
  <si>
    <t>BAC</t>
  </si>
  <si>
    <t>WU</t>
  </si>
  <si>
    <t>TWTR</t>
  </si>
  <si>
    <t>USHY</t>
  </si>
  <si>
    <t>NEM</t>
  </si>
  <si>
    <t>BAX</t>
  </si>
  <si>
    <t>APTO</t>
  </si>
  <si>
    <t>ITUB</t>
  </si>
  <si>
    <t>IGSB</t>
  </si>
  <si>
    <t>SNAP</t>
  </si>
  <si>
    <t>AGG</t>
  </si>
  <si>
    <t>TEVA</t>
  </si>
  <si>
    <t>BHVN</t>
  </si>
  <si>
    <t>IEF</t>
  </si>
  <si>
    <t>CYTK</t>
  </si>
  <si>
    <t>EEM</t>
  </si>
  <si>
    <t>ELAN</t>
  </si>
  <si>
    <t>AMX</t>
  </si>
  <si>
    <t>SPEM</t>
  </si>
  <si>
    <t>RIG</t>
  </si>
  <si>
    <t>GM</t>
  </si>
  <si>
    <t>AMCR</t>
  </si>
  <si>
    <t>VWO</t>
  </si>
  <si>
    <t>GE</t>
  </si>
  <si>
    <t>VEA</t>
  </si>
  <si>
    <t>DOC</t>
  </si>
  <si>
    <t>XMLV</t>
  </si>
  <si>
    <t>GILD</t>
  </si>
  <si>
    <t>VIG</t>
  </si>
  <si>
    <t>AA</t>
  </si>
  <si>
    <t>WLK</t>
  </si>
  <si>
    <t>EWH</t>
  </si>
  <si>
    <t>AVTR</t>
  </si>
  <si>
    <t>NET</t>
  </si>
  <si>
    <t>EWZ</t>
  </si>
  <si>
    <t>CAH</t>
  </si>
  <si>
    <t>IBN</t>
  </si>
  <si>
    <t>AIG</t>
  </si>
  <si>
    <t>M</t>
  </si>
  <si>
    <t>BMY</t>
  </si>
  <si>
    <t>Financials</t>
  </si>
  <si>
    <t>EZU</t>
  </si>
  <si>
    <t>CNP</t>
  </si>
  <si>
    <t>WFC</t>
  </si>
  <si>
    <t>MT</t>
  </si>
  <si>
    <t>IDV</t>
  </si>
  <si>
    <t>IEFA</t>
  </si>
  <si>
    <t>GVA</t>
  </si>
  <si>
    <t>DIS</t>
  </si>
  <si>
    <t>EFA</t>
  </si>
  <si>
    <t>IVV</t>
  </si>
  <si>
    <t>SCHW</t>
  </si>
  <si>
    <t>EXEL</t>
  </si>
  <si>
    <t>LQD</t>
  </si>
  <si>
    <t>X</t>
  </si>
  <si>
    <t>QCOM</t>
  </si>
  <si>
    <t>IQ</t>
  </si>
  <si>
    <t>CORT</t>
  </si>
  <si>
    <t>SPCE</t>
  </si>
  <si>
    <t>RAD</t>
  </si>
  <si>
    <t>Industrials</t>
  </si>
  <si>
    <t>KBR</t>
  </si>
  <si>
    <t>LOPE</t>
  </si>
  <si>
    <t>BBD</t>
  </si>
  <si>
    <t>RDFN</t>
  </si>
  <si>
    <t>PBYI</t>
  </si>
  <si>
    <t>GSK</t>
  </si>
  <si>
    <t>XLV</t>
  </si>
  <si>
    <t>IGLB</t>
  </si>
  <si>
    <t>INSP</t>
  </si>
  <si>
    <t>SLV</t>
  </si>
  <si>
    <t>XOM</t>
  </si>
  <si>
    <t>VALE</t>
  </si>
  <si>
    <t>NVO</t>
  </si>
  <si>
    <t>VVV</t>
  </si>
  <si>
    <t>EROS</t>
  </si>
  <si>
    <t>GT</t>
  </si>
  <si>
    <t>CGC</t>
  </si>
  <si>
    <t>INFY</t>
  </si>
  <si>
    <t>CTXS</t>
  </si>
  <si>
    <t>FOXA</t>
  </si>
  <si>
    <t>AAPL</t>
  </si>
  <si>
    <t>DBX</t>
  </si>
  <si>
    <t>MDLA</t>
  </si>
  <si>
    <t>QGEN</t>
  </si>
  <si>
    <t>GSKY</t>
  </si>
  <si>
    <t>LXP</t>
  </si>
  <si>
    <t>SLB</t>
  </si>
  <si>
    <t>NVST</t>
  </si>
  <si>
    <t>BE</t>
  </si>
  <si>
    <t>KO</t>
  </si>
  <si>
    <t>NVS</t>
  </si>
  <si>
    <t>NUAN</t>
  </si>
  <si>
    <t>AMTD</t>
  </si>
  <si>
    <t>[Unusual Order]</t>
  </si>
  <si>
    <t>UAL</t>
  </si>
  <si>
    <t>EWY</t>
  </si>
  <si>
    <t>AMD</t>
  </si>
  <si>
    <t>TSLA</t>
  </si>
  <si>
    <t>UNIT</t>
  </si>
  <si>
    <t>OVV</t>
  </si>
  <si>
    <t>CBD</t>
  </si>
  <si>
    <t>ASHR</t>
  </si>
  <si>
    <t>FXH</t>
  </si>
  <si>
    <t>TW</t>
  </si>
  <si>
    <t>PCG</t>
  </si>
  <si>
    <t>EQNR</t>
  </si>
  <si>
    <t>STAY</t>
  </si>
  <si>
    <t>FIT</t>
  </si>
  <si>
    <t>EBAY</t>
  </si>
  <si>
    <t>NBL</t>
  </si>
  <si>
    <t>DOYU</t>
  </si>
  <si>
    <t>GMAB</t>
  </si>
  <si>
    <t>DHT</t>
  </si>
  <si>
    <t>CHRS</t>
  </si>
  <si>
    <t>CMS</t>
  </si>
  <si>
    <t>MO</t>
  </si>
  <si>
    <t>SH</t>
  </si>
  <si>
    <t>NYMT</t>
  </si>
  <si>
    <t>COTY</t>
  </si>
  <si>
    <t>SQQQ</t>
  </si>
  <si>
    <t>SIRI</t>
  </si>
  <si>
    <t>KEY</t>
  </si>
  <si>
    <t>LBTYK</t>
  </si>
  <si>
    <t>BSX</t>
  </si>
  <si>
    <t>COUP</t>
  </si>
  <si>
    <t>PBR</t>
  </si>
  <si>
    <t>GRUB</t>
  </si>
  <si>
    <t>FEYE</t>
  </si>
  <si>
    <t>PAA</t>
  </si>
  <si>
    <t>TGTX</t>
  </si>
  <si>
    <t>PCY</t>
  </si>
  <si>
    <t>NLY</t>
  </si>
  <si>
    <t>HSIC</t>
  </si>
  <si>
    <t>VSLR</t>
  </si>
  <si>
    <t>JNK</t>
  </si>
  <si>
    <t>JPM</t>
  </si>
  <si>
    <t>KWEB</t>
  </si>
  <si>
    <t>C</t>
  </si>
  <si>
    <t>SFM</t>
  </si>
  <si>
    <t>LB</t>
  </si>
  <si>
    <t>TMV</t>
  </si>
  <si>
    <t>PBR/A</t>
  </si>
  <si>
    <t>SPX</t>
  </si>
  <si>
    <t>PFE</t>
  </si>
  <si>
    <t>SYF</t>
  </si>
  <si>
    <t>NFLX</t>
  </si>
  <si>
    <t>LKQ</t>
  </si>
  <si>
    <t>BKLN</t>
  </si>
  <si>
    <t>ADPT</t>
  </si>
  <si>
    <t>UN</t>
  </si>
  <si>
    <t>CZR</t>
  </si>
  <si>
    <t>SBH</t>
  </si>
  <si>
    <t>PLAN</t>
  </si>
  <si>
    <t>BKR</t>
  </si>
  <si>
    <t>VER</t>
  </si>
  <si>
    <t>NAV</t>
  </si>
  <si>
    <t>AGNC</t>
  </si>
  <si>
    <t>RSX</t>
  </si>
  <si>
    <t>MPC</t>
  </si>
  <si>
    <t>VRTU</t>
  </si>
  <si>
    <t>HPQ</t>
  </si>
  <si>
    <t>NLOK</t>
  </si>
  <si>
    <t>HDGE</t>
  </si>
  <si>
    <t>GDX</t>
  </si>
  <si>
    <t>USAC</t>
  </si>
  <si>
    <t>TME</t>
  </si>
  <si>
    <t>RDS/A</t>
  </si>
  <si>
    <t>BIDU</t>
  </si>
  <si>
    <t>DLTR</t>
  </si>
  <si>
    <t>MNST</t>
  </si>
  <si>
    <t>IQV</t>
  </si>
  <si>
    <t>IXC</t>
  </si>
  <si>
    <t>GOGO</t>
  </si>
  <si>
    <t>TMUS</t>
  </si>
  <si>
    <t>PBPB</t>
  </si>
  <si>
    <t>SBUX</t>
  </si>
  <si>
    <t>RCUS</t>
  </si>
  <si>
    <t>ENB</t>
  </si>
  <si>
    <t>DEI</t>
  </si>
  <si>
    <t>CLR</t>
  </si>
  <si>
    <t>CBB</t>
  </si>
  <si>
    <t>MBT</t>
  </si>
  <si>
    <t>CMCSA</t>
  </si>
  <si>
    <t>GSIE</t>
  </si>
  <si>
    <t>CHU</t>
  </si>
  <si>
    <t>VHC</t>
  </si>
  <si>
    <t>NTCO</t>
  </si>
  <si>
    <t>NFG</t>
  </si>
  <si>
    <t>INOV</t>
  </si>
  <si>
    <t>ETRN</t>
  </si>
  <si>
    <t>Utilities</t>
  </si>
  <si>
    <t>COP</t>
  </si>
  <si>
    <t>VT</t>
  </si>
  <si>
    <t>HST</t>
  </si>
  <si>
    <t>TX</t>
  </si>
  <si>
    <t>IVR</t>
  </si>
  <si>
    <t>KYN</t>
  </si>
  <si>
    <t>TWLO</t>
  </si>
  <si>
    <t>PXH</t>
  </si>
  <si>
    <t>WMT</t>
  </si>
  <si>
    <t>Signal</t>
  </si>
  <si>
    <t>CNC</t>
  </si>
  <si>
    <t>DBP</t>
  </si>
  <si>
    <t>LONG</t>
  </si>
  <si>
    <t>GLRE</t>
  </si>
  <si>
    <t>BA</t>
  </si>
  <si>
    <t>AAL</t>
  </si>
  <si>
    <t>DBA</t>
  </si>
  <si>
    <t>LYFT</t>
  </si>
  <si>
    <t>SNE</t>
  </si>
  <si>
    <t>DBB</t>
  </si>
  <si>
    <t>TTD</t>
  </si>
  <si>
    <t>QD</t>
  </si>
  <si>
    <t>DBE</t>
  </si>
  <si>
    <t>JMIA</t>
  </si>
  <si>
    <t>WDC</t>
  </si>
  <si>
    <t>ZM</t>
  </si>
  <si>
    <t>CADE</t>
  </si>
  <si>
    <t>SHORT</t>
  </si>
  <si>
    <t>MRVL</t>
  </si>
  <si>
    <t>NVDA</t>
  </si>
  <si>
    <t>JNJ</t>
  </si>
  <si>
    <t>SQ</t>
  </si>
  <si>
    <t>ATVI</t>
  </si>
  <si>
    <t>TGT</t>
  </si>
  <si>
    <t>BB</t>
  </si>
  <si>
    <t>WORK</t>
  </si>
  <si>
    <t>JD</t>
  </si>
  <si>
    <t>BYND</t>
  </si>
  <si>
    <t>DDD</t>
  </si>
  <si>
    <t>EXPE</t>
  </si>
  <si>
    <t>DIA</t>
  </si>
  <si>
    <t>CRM</t>
  </si>
  <si>
    <t>MU</t>
  </si>
  <si>
    <t>NKE</t>
  </si>
  <si>
    <t>XBIT</t>
  </si>
  <si>
    <t>TRIP</t>
  </si>
  <si>
    <t>GOOG</t>
  </si>
  <si>
    <t>YETI</t>
  </si>
  <si>
    <t>CSCO</t>
  </si>
  <si>
    <t>HAL</t>
  </si>
  <si>
    <t>MMM</t>
  </si>
  <si>
    <t>NWL</t>
  </si>
  <si>
    <t>ET</t>
  </si>
  <si>
    <t>V</t>
  </si>
  <si>
    <t>UTX</t>
  </si>
  <si>
    <t>SO</t>
  </si>
  <si>
    <t>MCD</t>
  </si>
  <si>
    <t>LOW</t>
  </si>
  <si>
    <t>KHC</t>
  </si>
  <si>
    <t>HON</t>
  </si>
  <si>
    <t>EXC</t>
  </si>
  <si>
    <t>ETN</t>
  </si>
  <si>
    <t>EA</t>
  </si>
  <si>
    <t>DAL</t>
  </si>
  <si>
    <t>CVX</t>
  </si>
  <si>
    <t>CI</t>
  </si>
  <si>
    <t>BRK/B</t>
  </si>
  <si>
    <t>ADBE</t>
  </si>
  <si>
    <t>XBI</t>
  </si>
  <si>
    <t>ACWX</t>
  </si>
  <si>
    <t>DRNA</t>
  </si>
  <si>
    <t>CVS</t>
  </si>
  <si>
    <t>WMB</t>
  </si>
  <si>
    <t>AEP</t>
  </si>
  <si>
    <t>ZAYO</t>
  </si>
  <si>
    <t>SMFG</t>
  </si>
  <si>
    <t>MLCO</t>
  </si>
  <si>
    <t>MYL</t>
  </si>
  <si>
    <t>T</t>
  </si>
  <si>
    <t>Telecom</t>
  </si>
  <si>
    <t>Notes:</t>
  </si>
  <si>
    <t>Formatting for Realtime_Options Sheet</t>
  </si>
  <si>
    <t>Main Dashboard Help Menu</t>
  </si>
  <si>
    <t>Ticker/Premium Paid = Red (Puts), Green (Calls)</t>
  </si>
  <si>
    <t>Strike = Blue (if In The Money transaction)</t>
  </si>
  <si>
    <t>Mark Column = Refer Option Flow Indicator in help menu --&gt;</t>
  </si>
  <si>
    <t>[Largest Position of Open Interest]</t>
  </si>
  <si>
    <t>[Day Vol is Greater than OI, Unusual Order]</t>
  </si>
  <si>
    <t>[Largest Position of Open Interest, Unusual Order]</t>
  </si>
  <si>
    <t>NVT</t>
  </si>
  <si>
    <t>IBKR</t>
  </si>
  <si>
    <t>ZS</t>
  </si>
  <si>
    <t>SAVE</t>
  </si>
  <si>
    <t>CMG</t>
  </si>
  <si>
    <t>MET</t>
  </si>
  <si>
    <t>GOOS</t>
  </si>
  <si>
    <t>CRWD</t>
  </si>
  <si>
    <t>ADI</t>
  </si>
  <si>
    <t>MCHP</t>
  </si>
  <si>
    <t>IBM</t>
  </si>
  <si>
    <t>HAIN</t>
  </si>
  <si>
    <t>BABA</t>
  </si>
  <si>
    <t>AMAT</t>
  </si>
  <si>
    <t>EQH</t>
  </si>
  <si>
    <t>SHOP</t>
  </si>
  <si>
    <t>AYX</t>
  </si>
  <si>
    <t>PSTG</t>
  </si>
  <si>
    <t>KRE</t>
  </si>
  <si>
    <t>KSS</t>
  </si>
  <si>
    <t>VOLT</t>
  </si>
  <si>
    <t>TCOM</t>
  </si>
  <si>
    <t>KEX</t>
  </si>
  <si>
    <t>SUM of Premium Paid</t>
  </si>
  <si>
    <t>MUX</t>
  </si>
  <si>
    <t>ERJ</t>
  </si>
  <si>
    <t>EWJ</t>
  </si>
  <si>
    <t>FEZ</t>
  </si>
  <si>
    <t>MAR</t>
  </si>
  <si>
    <t>I</t>
  </si>
  <si>
    <t>CVNA</t>
  </si>
  <si>
    <t>SWN</t>
  </si>
  <si>
    <t>DE</t>
  </si>
  <si>
    <t>BILI</t>
  </si>
  <si>
    <t>PDD</t>
  </si>
  <si>
    <t>SUM of Notional - $</t>
  </si>
  <si>
    <t>VLO</t>
  </si>
  <si>
    <t>SGMS</t>
  </si>
  <si>
    <t>MRK</t>
  </si>
  <si>
    <t>GPN</t>
  </si>
  <si>
    <t>FB</t>
  </si>
  <si>
    <t>SWKS</t>
  </si>
  <si>
    <t>UNH</t>
  </si>
  <si>
    <t>AEM</t>
  </si>
  <si>
    <t>STM</t>
  </si>
  <si>
    <t>VXX</t>
  </si>
  <si>
    <t>TLT</t>
  </si>
  <si>
    <t>ADP</t>
  </si>
  <si>
    <t>EWT</t>
  </si>
  <si>
    <t>YNDX</t>
  </si>
  <si>
    <t>LVS</t>
  </si>
  <si>
    <t>ALB</t>
  </si>
  <si>
    <t>REGN</t>
  </si>
  <si>
    <t>CNX</t>
  </si>
  <si>
    <t>ABBV</t>
  </si>
  <si>
    <t>AVGO</t>
  </si>
  <si>
    <t>HIMX</t>
  </si>
  <si>
    <t>ZUO</t>
  </si>
  <si>
    <t>LRCX</t>
  </si>
  <si>
    <t>XLP</t>
  </si>
  <si>
    <t>RH</t>
  </si>
  <si>
    <t>CAT</t>
  </si>
  <si>
    <t>BBY</t>
  </si>
  <si>
    <t>MIK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</si>
</sst>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&quot;$&quot;#,##0"/>
    <numFmt numFmtId="165" formatCode="yyyy-mm-dd"/>
    <numFmt numFmtId="166" formatCode="h:mm am/pm"/>
    <numFmt numFmtId="167" formatCode="mm/dd/yy"/>
    <numFmt numFmtId="168" formatCode="M/d/yyyy"/>
    <numFmt numFmtId="169" formatCode="yyyy-mm-dd h:mm:ss"/>
    <numFmt numFmtId="170" formatCode="&quot;$&quot;#,##0.00"/>
    <numFmt numFmtId="171" formatCode="h&quot;:&quot;mm&quot;:&quot;ss&quot; &quot;"/>
    <numFmt numFmtId="172" formatCode="mm/dd"/>
  </numFmts>
  <fonts count="6">
    <font>
      <sz val="10.0"/>
      <color rgb="FF000000"/>
      <name val="Arial"/>
    </font>
    <font>
      <b/>
      <color theme="1"/>
      <name val="Arial"/>
    </font>
    <font>
      <sz val="10.0"/>
      <color theme="1"/>
      <name val="Arial"/>
    </font>
    <font>
      <color theme="1"/>
      <name val="Arial"/>
    </font>
    <font>
      <sz val="11.0"/>
      <color rgb="FF000000"/>
      <name val="Inconsolata"/>
    </font>
    <font>
      <color rgb="FF000000"/>
      <name val="Roboto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E599"/>
        <bgColor rgb="FFFFE599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2" numFmtId="0" xfId="0" applyAlignment="1" applyFill="1" applyFont="1">
      <alignment horizontal="left" readingOrder="0"/>
    </xf>
    <xf borderId="0" fillId="0" fontId="1" numFmtId="164" xfId="0" applyAlignment="1" applyFont="1" applyNumberFormat="1">
      <alignment readingOrder="0"/>
    </xf>
    <xf borderId="0" fillId="2" fontId="3" numFmtId="0" xfId="0" applyAlignment="1" applyFont="1">
      <alignment horizontal="center"/>
    </xf>
    <xf borderId="0" fillId="0" fontId="3" numFmtId="0" xfId="0" applyAlignment="1" applyFont="1">
      <alignment readingOrder="0"/>
    </xf>
    <xf borderId="0" fillId="3" fontId="3" numFmtId="0" xfId="0" applyAlignment="1" applyFill="1" applyFont="1">
      <alignment horizontal="center" readingOrder="0"/>
    </xf>
    <xf borderId="0" fillId="0" fontId="1" numFmtId="0" xfId="0" applyAlignment="1" applyFont="1">
      <alignment horizontal="center" readingOrder="0"/>
    </xf>
    <xf borderId="0" fillId="2" fontId="3" numFmtId="0" xfId="0" applyAlignment="1" applyFont="1">
      <alignment horizontal="left" readingOrder="0"/>
    </xf>
    <xf borderId="0" fillId="0" fontId="1" numFmtId="0" xfId="0" applyFont="1"/>
    <xf borderId="0" fillId="2" fontId="3" numFmtId="0" xfId="0" applyFont="1"/>
    <xf borderId="0" fillId="0" fontId="1" numFmtId="164" xfId="0" applyAlignment="1" applyFont="1" applyNumberFormat="1">
      <alignment horizontal="center" readingOrder="0"/>
    </xf>
    <xf borderId="0" fillId="0" fontId="3" numFmtId="0" xfId="0" applyAlignment="1" applyFont="1">
      <alignment horizontal="center" readingOrder="0"/>
    </xf>
    <xf borderId="0" fillId="0" fontId="3" numFmtId="165" xfId="0" applyFont="1" applyNumberFormat="1"/>
    <xf borderId="0" fillId="0" fontId="3" numFmtId="166" xfId="0" applyFont="1" applyNumberFormat="1"/>
    <xf borderId="0" fillId="0" fontId="3" numFmtId="0" xfId="0" applyFont="1"/>
    <xf borderId="0" fillId="4" fontId="4" numFmtId="165" xfId="0" applyAlignment="1" applyFill="1" applyFont="1" applyNumberFormat="1">
      <alignment horizontal="center"/>
    </xf>
    <xf borderId="0" fillId="0" fontId="3" numFmtId="167" xfId="0" applyFont="1" applyNumberFormat="1"/>
    <xf borderId="0" fillId="0" fontId="3" numFmtId="166" xfId="0" applyAlignment="1" applyFont="1" applyNumberFormat="1">
      <alignment horizontal="center"/>
    </xf>
    <xf borderId="0" fillId="0" fontId="3" numFmtId="0" xfId="0" applyAlignment="1" applyFont="1">
      <alignment horizontal="center"/>
    </xf>
    <xf borderId="0" fillId="0" fontId="3" numFmtId="164" xfId="0" applyFont="1" applyNumberFormat="1"/>
    <xf borderId="0" fillId="0" fontId="3" numFmtId="167" xfId="0" applyAlignment="1" applyFont="1" applyNumberFormat="1">
      <alignment horizontal="center"/>
    </xf>
    <xf borderId="0" fillId="0" fontId="3" numFmtId="164" xfId="0" applyAlignment="1" applyFont="1" applyNumberFormat="1">
      <alignment horizontal="center"/>
    </xf>
    <xf borderId="0" fillId="0" fontId="3" numFmtId="165" xfId="0" applyAlignment="1" applyFont="1" applyNumberFormat="1">
      <alignment horizontal="center"/>
    </xf>
    <xf borderId="0" fillId="0" fontId="3" numFmtId="168" xfId="0" applyAlignment="1" applyFont="1" applyNumberFormat="1">
      <alignment readingOrder="0"/>
    </xf>
    <xf borderId="0" fillId="0" fontId="3" numFmtId="165" xfId="0" applyAlignment="1" applyFont="1" applyNumberFormat="1">
      <alignment readingOrder="0"/>
    </xf>
    <xf borderId="0" fillId="0" fontId="3" numFmtId="3" xfId="0" applyAlignment="1" applyFont="1" applyNumberFormat="1">
      <alignment readingOrder="0"/>
    </xf>
    <xf borderId="0" fillId="0" fontId="3" numFmtId="9" xfId="0" applyAlignment="1" applyFont="1" applyNumberFormat="1">
      <alignment readingOrder="0"/>
    </xf>
    <xf borderId="0" fillId="0" fontId="3" numFmtId="166" xfId="0" applyAlignment="1" applyFont="1" applyNumberFormat="1">
      <alignment horizontal="center" readingOrder="0"/>
    </xf>
    <xf borderId="0" fillId="0" fontId="3" numFmtId="167" xfId="0" applyAlignment="1" applyFont="1" applyNumberFormat="1">
      <alignment readingOrder="0"/>
    </xf>
    <xf borderId="0" fillId="0" fontId="3" numFmtId="164" xfId="0" applyAlignment="1" applyFont="1" applyNumberFormat="1">
      <alignment readingOrder="0"/>
    </xf>
    <xf borderId="0" fillId="4" fontId="5" numFmtId="165" xfId="0" applyAlignment="1" applyFont="1" applyNumberFormat="1">
      <alignment readingOrder="0"/>
    </xf>
    <xf borderId="0" fillId="0" fontId="3" numFmtId="169" xfId="0" applyAlignment="1" applyFont="1" applyNumberFormat="1">
      <alignment readingOrder="0"/>
    </xf>
    <xf borderId="0" fillId="0" fontId="1" numFmtId="170" xfId="0" applyAlignment="1" applyFont="1" applyNumberFormat="1">
      <alignment readingOrder="0"/>
    </xf>
    <xf borderId="0" fillId="0" fontId="3" numFmtId="171" xfId="0" applyAlignment="1" applyFont="1" applyNumberFormat="1">
      <alignment readingOrder="0"/>
    </xf>
    <xf borderId="0" fillId="0" fontId="3" numFmtId="170" xfId="0" applyAlignment="1" applyFont="1" applyNumberFormat="1">
      <alignment horizontal="center" readingOrder="0"/>
    </xf>
    <xf borderId="0" fillId="0" fontId="3" numFmtId="170" xfId="0" applyAlignment="1" applyFont="1" applyNumberFormat="1">
      <alignment readingOrder="0"/>
    </xf>
    <xf borderId="0" fillId="0" fontId="1" numFmtId="170" xfId="0" applyAlignment="1" applyFont="1" applyNumberFormat="1">
      <alignment horizontal="center" readingOrder="0"/>
    </xf>
    <xf borderId="0" fillId="0" fontId="3" numFmtId="172" xfId="0" applyAlignment="1" applyFont="1" applyNumberFormat="1">
      <alignment readingOrder="0"/>
    </xf>
    <xf borderId="0" fillId="0" fontId="3" numFmtId="166" xfId="0" applyAlignment="1" applyFont="1" applyNumberFormat="1">
      <alignment readingOrder="0"/>
    </xf>
    <xf borderId="0" fillId="0" fontId="3" numFmtId="170" xfId="0" applyAlignment="1" applyFont="1" applyNumberFormat="1">
      <alignment horizontal="center" readingOrder="0"/>
    </xf>
    <xf borderId="0" fillId="0" fontId="3" numFmtId="170" xfId="0" applyAlignment="1" applyFont="1" applyNumberFormat="1">
      <alignment horizontal="center"/>
    </xf>
    <xf borderId="0" fillId="0" fontId="3" numFmtId="20" xfId="0" applyAlignment="1" applyFont="1" applyNumberFormat="1">
      <alignment readingOrder="0"/>
    </xf>
    <xf borderId="0" fillId="0" fontId="3" numFmtId="170" xfId="0" applyFont="1" applyNumberFormat="1"/>
  </cellXfs>
  <cellStyles count="1">
    <cellStyle xfId="0" name="Normal" builtinId="0"/>
  </cellStyles>
  <dxfs count="9">
    <dxf>
      <font>
        <color rgb="FFFFFFFF"/>
      </font>
      <fill>
        <patternFill patternType="solid">
          <fgColor rgb="FF3D85C6"/>
          <bgColor rgb="FF3D85C6"/>
        </patternFill>
      </fill>
      <border/>
    </dxf>
    <dxf>
      <font/>
      <fill>
        <patternFill patternType="none"/>
      </fill>
      <border/>
    </dxf>
    <dxf>
      <font>
        <color rgb="FF000000"/>
      </font>
      <fill>
        <patternFill patternType="solid">
          <fgColor rgb="FFFFFFFF"/>
          <bgColor rgb="FFFFFFFF"/>
        </patternFill>
      </fill>
      <border/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  <tableStyles count="1">
    <tableStyle count="12" table="0" name="Google Sheets Pivot Table Style">
      <tableStyleElement dxfId="2" type="wholeTable"/>
      <tableStyleElement dxfId="3" type="firstRowSubheading"/>
      <tableStyleElement dxfId="3" type="secondRowSubheading"/>
      <tableStyleElement dxfId="3" type="thirdRowSubheading"/>
      <tableStyleElement dxfId="4" type="firstColumnSubheading"/>
      <tableStyleElement dxfId="4" type="secondColumnSubheading"/>
      <tableStyleElement dxfId="4" type="thirdColumnSubheading"/>
      <tableStyleElement dxfId="4" type="headerRow"/>
      <tableStyleElement dxfId="5" type="firstSubtotalRow"/>
      <tableStyleElement dxfId="5" type="secondSubtotalRow"/>
      <tableStyleElement dxfId="5" type="thirdSubtotalRow"/>
      <tableStyleElement dxfId="6" type="totalRow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pivotCacheDefinition" Target="pivotCache/pivotCacheDefinition1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pivotCacheDefinition" Target="pivotCache/pivotCacheDefinition2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areaChart>
        <c:ser>
          <c:idx val="0"/>
          <c:order val="0"/>
          <c:tx>
            <c:strRef>
              <c:f>Market_Sentiment!$E$1</c:f>
            </c:strRef>
          </c:tx>
          <c:spPr>
            <a:solidFill>
              <a:schemeClr val="accent1">
                <a:alpha val="30000"/>
              </a:schemeClr>
            </a:solidFill>
            <a:ln cmpd="sng" w="19050">
              <a:solidFill>
                <a:srgbClr val="4285F4"/>
              </a:solidFill>
            </a:ln>
          </c:spPr>
          <c:val>
            <c:numRef>
              <c:f>Market_Sentiment!$E$2:$E$683</c:f>
            </c:numRef>
          </c:val>
        </c:ser>
        <c:ser>
          <c:idx val="1"/>
          <c:order val="1"/>
          <c:tx>
            <c:strRef>
              <c:f>Market_Sentiment!$G$1</c:f>
            </c:strRef>
          </c:tx>
          <c:spPr>
            <a:solidFill>
              <a:schemeClr val="accent2">
                <a:alpha val="30000"/>
              </a:schemeClr>
            </a:solidFill>
            <a:ln cmpd="sng" w="19050">
              <a:solidFill>
                <a:srgbClr val="EA4335"/>
              </a:solidFill>
            </a:ln>
          </c:spPr>
          <c:val>
            <c:numRef>
              <c:f>Market_Sentiment!$G$2:$G$683</c:f>
            </c:numRef>
          </c:val>
        </c:ser>
        <c:axId val="1319362310"/>
        <c:axId val="1805570610"/>
      </c:areaChart>
      <c:catAx>
        <c:axId val="13193623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05570610"/>
      </c:catAx>
      <c:valAx>
        <c:axId val="180557061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1936231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t>Sentiment Score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Market_Sentiment!$C$1</c:f>
            </c:strRef>
          </c:tx>
          <c:spPr>
            <a:solidFill>
              <a:schemeClr val="accent1">
                <a:alpha val="30000"/>
              </a:schemeClr>
            </a:solidFill>
            <a:ln cmpd="sng" w="19050">
              <a:solidFill>
                <a:srgbClr val="4285F4"/>
              </a:solidFill>
            </a:ln>
          </c:spPr>
          <c:val>
            <c:numRef>
              <c:f>Market_Sentiment!$C$2:$C$683</c:f>
            </c:numRef>
          </c:val>
        </c:ser>
        <c:axId val="1131683988"/>
        <c:axId val="2001947489"/>
      </c:areaChart>
      <c:catAx>
        <c:axId val="11316839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01947489"/>
      </c:catAx>
      <c:valAx>
        <c:axId val="200194748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>Sentiment Score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3168398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areaChart>
        <c:ser>
          <c:idx val="0"/>
          <c:order val="0"/>
          <c:tx>
            <c:strRef>
              <c:f>Market_Sentiment!$D$1</c:f>
            </c:strRef>
          </c:tx>
          <c:spPr>
            <a:solidFill>
              <a:schemeClr val="accent1">
                <a:alpha val="30000"/>
              </a:schemeClr>
            </a:solidFill>
            <a:ln cmpd="sng" w="19050">
              <a:solidFill>
                <a:srgbClr val="4285F4"/>
              </a:solidFill>
            </a:ln>
          </c:spPr>
          <c:val>
            <c:numRef>
              <c:f>Market_Sentiment!$D$2:$D$683</c:f>
            </c:numRef>
          </c:val>
        </c:ser>
        <c:ser>
          <c:idx val="1"/>
          <c:order val="1"/>
          <c:tx>
            <c:strRef>
              <c:f>Market_Sentiment!$F$1</c:f>
            </c:strRef>
          </c:tx>
          <c:spPr>
            <a:solidFill>
              <a:schemeClr val="accent2">
                <a:alpha val="30000"/>
              </a:schemeClr>
            </a:solidFill>
            <a:ln cmpd="sng" w="19050">
              <a:solidFill>
                <a:srgbClr val="EA4335"/>
              </a:solidFill>
            </a:ln>
          </c:spPr>
          <c:val>
            <c:numRef>
              <c:f>Market_Sentiment!$F$2:$F$683</c:f>
            </c:numRef>
          </c:val>
        </c:ser>
        <c:ser>
          <c:idx val="2"/>
          <c:order val="2"/>
          <c:tx>
            <c:strRef>
              <c:f>Market_Sentiment!$H$1</c:f>
            </c:strRef>
          </c:tx>
          <c:spPr>
            <a:solidFill>
              <a:schemeClr val="accent3">
                <a:alpha val="30000"/>
              </a:schemeClr>
            </a:solidFill>
            <a:ln cmpd="sng" w="19050">
              <a:solidFill>
                <a:srgbClr val="FBBC04"/>
              </a:solidFill>
            </a:ln>
          </c:spPr>
          <c:val>
            <c:numRef>
              <c:f>Market_Sentiment!$H$2:$H$683</c:f>
            </c:numRef>
          </c:val>
        </c:ser>
        <c:axId val="430007691"/>
        <c:axId val="35723861"/>
      </c:areaChart>
      <c:catAx>
        <c:axId val="4300076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5723861"/>
      </c:catAx>
      <c:valAx>
        <c:axId val="3572386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30007691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areaChart>
        <c:ser>
          <c:idx val="0"/>
          <c:order val="0"/>
          <c:tx>
            <c:strRef>
              <c:f>Market_Sentiment!$E$1</c:f>
            </c:strRef>
          </c:tx>
          <c:spPr>
            <a:solidFill>
              <a:schemeClr val="accent1">
                <a:alpha val="30000"/>
              </a:schemeClr>
            </a:solidFill>
            <a:ln cmpd="sng" w="19050">
              <a:solidFill>
                <a:srgbClr val="4285F4"/>
              </a:solidFill>
            </a:ln>
          </c:spPr>
          <c:val>
            <c:numRef>
              <c:f>Market_Sentiment!$E$2:$E$683</c:f>
            </c:numRef>
          </c:val>
        </c:ser>
        <c:ser>
          <c:idx val="1"/>
          <c:order val="1"/>
          <c:tx>
            <c:strRef>
              <c:f>Market_Sentiment!$G$1</c:f>
            </c:strRef>
          </c:tx>
          <c:spPr>
            <a:solidFill>
              <a:schemeClr val="accent2">
                <a:alpha val="30000"/>
              </a:schemeClr>
            </a:solidFill>
            <a:ln cmpd="sng" w="19050">
              <a:solidFill>
                <a:srgbClr val="EA4335"/>
              </a:solidFill>
            </a:ln>
          </c:spPr>
          <c:val>
            <c:numRef>
              <c:f>Market_Sentiment!$G$2:$G$683</c:f>
            </c:numRef>
          </c:val>
        </c:ser>
        <c:axId val="221664742"/>
        <c:axId val="551575254"/>
      </c:areaChart>
      <c:catAx>
        <c:axId val="2216647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51575254"/>
      </c:catAx>
      <c:valAx>
        <c:axId val="55157525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2166474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t>CALL SNAPSHOT - Top 20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strRef>
              <c:f>Snapshot!$B$1:$B$2</c:f>
            </c:strRef>
          </c:tx>
          <c:spPr>
            <a:solidFill>
              <a:schemeClr val="accent1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Snapshot!$A$3:$A$22</c:f>
            </c:strRef>
          </c:cat>
          <c:val>
            <c:numRef>
              <c:f>Snapshot!$B$3:$B$22</c:f>
            </c:numRef>
          </c:val>
        </c:ser>
        <c:axId val="1890670340"/>
        <c:axId val="1424553661"/>
      </c:barChart>
      <c:catAx>
        <c:axId val="189067034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24553661"/>
      </c:catAx>
      <c:valAx>
        <c:axId val="142455366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90670340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t>PUT SNAPSHOT -TOP 20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strRef>
              <c:f>Snapshot!$I$2</c:f>
            </c:strRef>
          </c:tx>
          <c:spPr>
            <a:solidFill>
              <a:schemeClr val="accent2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Snapshot!$H$3:$H$22</c:f>
            </c:strRef>
          </c:cat>
          <c:val>
            <c:numRef>
              <c:f>Snapshot!$I$3:$I$22</c:f>
            </c:numRef>
          </c:val>
        </c:ser>
        <c:axId val="1448922994"/>
        <c:axId val="138370841"/>
      </c:barChart>
      <c:catAx>
        <c:axId val="144892299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8370841"/>
      </c:catAx>
      <c:valAx>
        <c:axId val="13837084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t/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48922994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3.jpg"/><Relationship Id="rId3" Type="http://schemas.openxmlformats.org/officeDocument/2006/relationships/image" Target="../media/image4.jpg"/><Relationship Id="rId4" Type="http://schemas.openxmlformats.org/officeDocument/2006/relationships/image" Target="../media/image6.jpg"/><Relationship Id="rId5" Type="http://schemas.openxmlformats.org/officeDocument/2006/relationships/image" Target="../media/image5.jpg"/><Relationship Id="rId6" Type="http://schemas.openxmlformats.org/officeDocument/2006/relationships/image" Target="../media/image7.jpg"/><Relationship Id="rId7" Type="http://schemas.openxmlformats.org/officeDocument/2006/relationships/image" Target="../media/image8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0</xdr:colOff>
      <xdr:row>1</xdr:row>
      <xdr:rowOff>0</xdr:rowOff>
    </xdr:from>
    <xdr:ext cx="4210050" cy="260032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9</xdr:col>
      <xdr:colOff>0</xdr:colOff>
      <xdr:row>1</xdr:row>
      <xdr:rowOff>0</xdr:rowOff>
    </xdr:from>
    <xdr:ext cx="4210050" cy="260032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9</xdr:col>
      <xdr:colOff>0</xdr:colOff>
      <xdr:row>14</xdr:row>
      <xdr:rowOff>190500</xdr:rowOff>
    </xdr:from>
    <xdr:ext cx="4210050" cy="260032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9</xdr:col>
      <xdr:colOff>0</xdr:colOff>
      <xdr:row>28</xdr:row>
      <xdr:rowOff>180975</xdr:rowOff>
    </xdr:from>
    <xdr:ext cx="4200525" cy="2600325"/>
    <xdr:graphicFrame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161925</xdr:colOff>
      <xdr:row>3</xdr:row>
      <xdr:rowOff>85725</xdr:rowOff>
    </xdr:from>
    <xdr:ext cx="4438650" cy="5781675"/>
    <xdr:graphicFrame>
      <xdr:nvGraphicFramePr>
        <xdr:cNvPr id="5" name="Chart 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9</xdr:col>
      <xdr:colOff>85725</xdr:colOff>
      <xdr:row>3</xdr:row>
      <xdr:rowOff>85725</xdr:rowOff>
    </xdr:from>
    <xdr:ext cx="4276725" cy="5781675"/>
    <xdr:graphicFrame>
      <xdr:nvGraphicFramePr>
        <xdr:cNvPr id="6" name="Chart 6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942975</xdr:colOff>
      <xdr:row>1</xdr:row>
      <xdr:rowOff>200025</xdr:rowOff>
    </xdr:from>
    <xdr:ext cx="11306175" cy="7943850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1</xdr:row>
      <xdr:rowOff>0</xdr:rowOff>
    </xdr:from>
    <xdr:ext cx="200025" cy="200025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200025" cy="200025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</xdr:row>
      <xdr:rowOff>0</xdr:rowOff>
    </xdr:from>
    <xdr:ext cx="352425" cy="200025"/>
    <xdr:pic>
      <xdr:nvPicPr>
        <xdr:cNvPr id="0" name="image4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</xdr:row>
      <xdr:rowOff>0</xdr:rowOff>
    </xdr:from>
    <xdr:ext cx="400050" cy="200025"/>
    <xdr:pic>
      <xdr:nvPicPr>
        <xdr:cNvPr id="0" name="image6.jp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</xdr:row>
      <xdr:rowOff>0</xdr:rowOff>
    </xdr:from>
    <xdr:ext cx="400050" cy="200025"/>
    <xdr:pic>
      <xdr:nvPicPr>
        <xdr:cNvPr id="0" name="image5.jpg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</xdr:row>
      <xdr:rowOff>0</xdr:rowOff>
    </xdr:from>
    <xdr:ext cx="400050" cy="200025"/>
    <xdr:pic>
      <xdr:nvPicPr>
        <xdr:cNvPr id="0" name="image7.jpg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7</xdr:row>
      <xdr:rowOff>0</xdr:rowOff>
    </xdr:from>
    <xdr:ext cx="600075" cy="200025"/>
    <xdr:pic>
      <xdr:nvPicPr>
        <xdr:cNvPr id="0" name="image8.jpg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_rels/pivotCacheDefinition2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T499" sheet="Realtime_Options"/>
  </cacheSource>
  <cacheFields>
    <cacheField name="Date" numFmtId="165">
      <sharedItems containsSemiMixedTypes="0" containsDate="1" containsString="0">
        <d v="2020-02-05T00:00:00Z"/>
      </sharedItems>
    </cacheField>
    <cacheField name="Time - PST" numFmtId="166">
      <sharedItems containsSemiMixedTypes="0" containsDate="1" containsString="0">
        <d v="1899-12-30T16:02:00Z"/>
        <d v="1899-12-30T15:59:00Z"/>
        <d v="1899-12-30T15:58:00Z"/>
        <d v="1899-12-30T15:57:00Z"/>
        <d v="1899-12-30T15:56:00Z"/>
        <d v="1899-12-30T15:55:00Z"/>
        <d v="1899-12-30T15:53:00Z"/>
        <d v="1899-12-30T15:52:00Z"/>
        <d v="1899-12-30T15:51:00Z"/>
        <d v="1899-12-30T15:50:00Z"/>
        <d v="1899-12-30T15:49:00Z"/>
        <d v="1899-12-30T15:47:00Z"/>
        <d v="1899-12-30T15:46:00Z"/>
        <d v="1899-12-30T15:45:00Z"/>
        <d v="1899-12-30T15:44:00Z"/>
        <d v="1899-12-30T15:42:00Z"/>
        <d v="1899-12-30T15:41:00Z"/>
        <d v="1899-12-30T15:40:00Z"/>
        <d v="1899-12-30T15:39:00Z"/>
        <d v="1899-12-30T15:37:00Z"/>
        <d v="1899-12-30T15:36:00Z"/>
        <d v="1899-12-30T15:35:00Z"/>
        <d v="1899-12-30T15:34:00Z"/>
        <d v="1899-12-30T15:32:00Z"/>
        <d v="1899-12-30T15:30:00Z"/>
        <d v="1899-12-30T15:28:00Z"/>
        <d v="1899-12-30T15:27:00Z"/>
        <d v="1899-12-30T15:26:00Z"/>
        <d v="1899-12-30T15:25:00Z"/>
        <d v="1899-12-30T15:24:00Z"/>
        <d v="1899-12-30T15:22:00Z"/>
        <d v="1899-12-30T15:17:00Z"/>
        <d v="1899-12-30T15:16:00Z"/>
        <d v="1899-12-30T15:15:00Z"/>
        <d v="1899-12-30T15:11:00Z"/>
        <d v="1899-12-30T15:10:00Z"/>
        <d v="1899-12-30T15:08:00Z"/>
        <d v="1899-12-30T15:07:00Z"/>
        <d v="1899-12-30T15:06:00Z"/>
        <d v="1899-12-30T15:04:00Z"/>
        <d v="1899-12-30T15:03:00Z"/>
        <d v="1899-12-30T15:02:00Z"/>
        <d v="1899-12-30T14:57:00Z"/>
        <d v="1899-12-30T14:54:00Z"/>
        <d v="1899-12-30T14:53:00Z"/>
        <d v="1899-12-30T14:52:00Z"/>
        <d v="1899-12-30T14:49:00Z"/>
        <d v="1899-12-30T14:50:00Z"/>
        <d v="1899-12-30T14:48:00Z"/>
        <d v="1899-12-30T14:47:00Z"/>
        <d v="1899-12-30T14:44:00Z"/>
        <d v="1899-12-30T14:43:00Z"/>
        <d v="1899-12-30T14:41:00Z"/>
        <d v="1899-12-30T14:40:00Z"/>
        <d v="1899-12-30T14:38:00Z"/>
        <d v="1899-12-30T14:37:00Z"/>
        <d v="1899-12-30T14:30:00Z"/>
        <d v="1899-12-30T14:28:00Z"/>
        <d v="1899-12-30T14:23:00Z"/>
        <d v="1899-12-30T14:19:00Z"/>
        <d v="1899-12-30T14:18:00Z"/>
        <d v="1899-12-30T14:14:00Z"/>
        <d v="1899-12-30T14:12:00Z"/>
        <d v="1899-12-30T14:11:00Z"/>
        <d v="1899-12-30T14:10:00Z"/>
        <d v="1899-12-30T14:09:00Z"/>
        <d v="1899-12-30T14:08:00Z"/>
        <d v="1899-12-30T14:03:00Z"/>
        <d v="1899-12-30T14:01:00Z"/>
        <d v="1899-12-30T14:00:00Z"/>
        <d v="1899-12-30T13:59:00Z"/>
        <d v="1899-12-30T13:58:00Z"/>
        <d v="1899-12-30T13:57:00Z"/>
        <d v="1899-12-30T13:55:00Z"/>
        <d v="1899-12-30T13:54:00Z"/>
        <d v="1899-12-30T13:52:00Z"/>
        <d v="1899-12-30T13:51:00Z"/>
        <d v="1899-12-30T13:50:00Z"/>
        <d v="1899-12-30T13:47:00Z"/>
        <d v="1899-12-30T13:46:00Z"/>
        <d v="1899-12-30T13:42:00Z"/>
        <d v="1899-12-30T13:35:00Z"/>
        <d v="1899-12-30T13:33:00Z"/>
        <d v="1899-12-30T13:29:00Z"/>
        <d v="1899-12-30T13:27:00Z"/>
        <d v="1899-12-30T13:26:00Z"/>
        <d v="1899-12-30T13:25:00Z"/>
        <d v="1899-12-30T13:24:00Z"/>
        <d v="1899-12-30T13:23:00Z"/>
        <d v="1899-12-30T13:22:00Z"/>
        <d v="1899-12-30T13:20:00Z"/>
        <d v="1899-12-30T13:19:00Z"/>
        <d v="1899-12-30T13:18:00Z"/>
        <d v="1899-12-30T13:17:00Z"/>
        <d v="1899-12-30T13:11:00Z"/>
        <d v="1899-12-30T13:08:00Z"/>
        <d v="1899-12-30T13:07:00Z"/>
        <d v="1899-12-30T13:05:00Z"/>
        <d v="1899-12-30T13:03:00Z"/>
        <d v="1899-12-30T13:02:00Z"/>
        <d v="1899-12-30T12:59:00Z"/>
        <d v="1899-12-30T12:58:00Z"/>
        <d v="1899-12-30T12:57:00Z"/>
        <d v="1899-12-30T12:56:00Z"/>
        <d v="1899-12-30T12:55:00Z"/>
        <d v="1899-12-30T12:54:00Z"/>
        <d v="1899-12-30T12:51:00Z"/>
        <d v="1899-12-30T12:49:00Z"/>
        <d v="1899-12-30T12:48:00Z"/>
        <d v="1899-12-30T12:47:00Z"/>
        <d v="1899-12-30T12:46:00Z"/>
        <d v="1899-12-30T12:45:00Z"/>
        <d v="1899-12-30T12:40:00Z"/>
        <d v="1899-12-30T12:39:00Z"/>
        <d v="1899-12-30T12:38:00Z"/>
        <d v="1899-12-30T12:37:00Z"/>
        <d v="1899-12-30T12:35:00Z"/>
        <d v="1899-12-30T12:33:00Z"/>
        <d v="1899-12-30T12:31:00Z"/>
        <d v="1899-12-30T12:30:00Z"/>
        <d v="1899-12-30T12:29:00Z"/>
        <d v="1899-12-30T12:28:00Z"/>
        <d v="1899-12-30T12:26:00Z"/>
        <d v="1899-12-30T12:25:00Z"/>
        <d v="1899-12-30T12:24:00Z"/>
        <d v="1899-12-30T12:23:00Z"/>
        <d v="1899-12-30T12:22:00Z"/>
        <d v="1899-12-30T12:21:00Z"/>
        <d v="1899-12-30T12:20:00Z"/>
        <d v="1899-12-30T12:17:00Z"/>
        <d v="1899-12-30T12:16:00Z"/>
        <d v="1899-12-30T12:14:00Z"/>
        <d v="1899-12-30T12:12:00Z"/>
        <d v="1899-12-30T12:11:00Z"/>
        <d v="1899-12-30T12:09:00Z"/>
        <d v="1899-12-30T12:08:00Z"/>
        <d v="1899-12-30T12:07:00Z"/>
        <d v="1899-12-30T12:06:00Z"/>
        <d v="1899-12-30T12:05:00Z"/>
        <d v="1899-12-30T12:04:00Z"/>
        <d v="1899-12-30T12:03:00Z"/>
        <d v="1899-12-30T12:02:00Z"/>
        <d v="1899-12-30T12:01:00Z"/>
        <d v="1899-12-30T11:59:00Z"/>
        <d v="1899-12-30T11:58:00Z"/>
        <d v="1899-12-30T11:54:00Z"/>
        <d v="1899-12-30T11:51:00Z"/>
        <d v="1899-12-30T11:50:00Z"/>
        <d v="1899-12-30T11:49:00Z"/>
        <d v="1899-12-30T11:48:00Z"/>
        <d v="1899-12-30T11:47:00Z"/>
        <d v="1899-12-30T11:46:00Z"/>
        <d v="1899-12-30T11:45:00Z"/>
        <d v="1899-12-30T11:44:00Z"/>
        <d v="1899-12-30T11:41:00Z"/>
        <d v="1899-12-30T11:38:00Z"/>
        <d v="1899-12-30T11:37:00Z"/>
        <d v="1899-12-30T11:36:00Z"/>
        <d v="1899-12-30T11:35:00Z"/>
        <d v="1899-12-30T11:33:00Z"/>
        <d v="1899-12-30T11:32:00Z"/>
        <d v="1899-12-30T11:30:00Z"/>
        <d v="1899-12-30T11:28:00Z"/>
        <d v="1899-12-30T11:27:00Z"/>
        <d v="1899-12-30T11:26:00Z"/>
        <d v="1899-12-30T11:23:00Z"/>
        <d v="1899-12-30T11:22:00Z"/>
        <d v="1899-12-30T11:21:00Z"/>
        <d v="1899-12-30T11:20:00Z"/>
        <d v="1899-12-30T11:19:00Z"/>
        <d v="1899-12-30T11:17:00Z"/>
        <d v="1899-12-30T11:16:00Z"/>
        <d v="1899-12-30T11:15:00Z"/>
        <d v="1899-12-30T11:14:00Z"/>
        <d v="1899-12-30T11:13:00Z"/>
        <d v="1899-12-30T11:12:00Z"/>
        <d v="1899-12-30T11:11:00Z"/>
        <d v="1899-12-30T11:10:00Z"/>
        <d v="1899-12-30T11:09:00Z"/>
        <d v="1899-12-30T11:08:00Z"/>
        <d v="1899-12-30T11:06:00Z"/>
        <d v="1899-12-30T11:05:00Z"/>
        <d v="1899-12-30T11:02:00Z"/>
        <d v="1899-12-30T10:59:00Z"/>
        <d v="1899-12-30T10:58:00Z"/>
        <d v="1899-12-30T10:57:00Z"/>
        <d v="1899-12-30T10:56:00Z"/>
        <d v="1899-12-30T10:55:00Z"/>
        <d v="1899-12-30T10:54:00Z"/>
        <d v="1899-12-30T10:52:00Z"/>
        <d v="1899-12-30T10:51:00Z"/>
        <d v="1899-12-30T10:50:00Z"/>
        <d v="1899-12-30T10:49:00Z"/>
        <d v="1899-12-30T10:48:00Z"/>
        <d v="1899-12-30T10:47:00Z"/>
        <d v="1899-12-30T10:46:00Z"/>
        <d v="1899-12-30T10:45:00Z"/>
        <d v="1899-12-30T10:44:00Z"/>
        <d v="1899-12-30T10:41:00Z"/>
        <d v="1899-12-30T10:39:00Z"/>
        <d v="1899-12-30T10:38:00Z"/>
        <d v="1899-12-30T10:37:00Z"/>
        <d v="1899-12-30T10:35:00Z"/>
        <d v="1899-12-30T10:32:00Z"/>
        <d v="1899-12-30T10:30:00Z"/>
        <d v="1899-12-30T10:28:00Z"/>
        <d v="1899-12-30T10:27:00Z"/>
        <d v="1899-12-30T10:26:00Z"/>
        <d v="1899-12-30T10:25:00Z"/>
        <d v="1899-12-30T10:22:00Z"/>
        <d v="1899-12-30T10:21:00Z"/>
        <d v="1899-12-30T10:20:00Z"/>
        <d v="1899-12-30T10:19:00Z"/>
        <d v="1899-12-30T10:18:00Z"/>
        <d v="1899-12-30T10:17:00Z"/>
        <d v="1899-12-30T10:16:00Z"/>
        <d v="1899-12-30T10:15:00Z"/>
        <d v="1899-12-30T10:14:00Z"/>
        <d v="1899-12-30T10:12:00Z"/>
        <d v="1899-12-30T10:11:00Z"/>
        <d v="1899-12-30T10:10:00Z"/>
        <d v="1899-12-30T10:09:00Z"/>
        <d v="1899-12-30T10:08:00Z"/>
        <d v="1899-12-30T10:07:00Z"/>
        <d v="1899-12-30T10:06:00Z"/>
        <d v="1899-12-30T10:05:00Z"/>
        <d v="1899-12-30T10:04:00Z"/>
        <d v="1899-12-30T10:03:00Z"/>
        <d v="1899-12-30T10:02:00Z"/>
        <d v="1899-12-30T10:01:00Z"/>
        <d v="1899-12-30T10:00:00Z"/>
        <d v="1899-12-30T09:59:00Z"/>
        <d v="1899-12-30T09:58:00Z"/>
        <d v="1899-12-30T09:57:00Z"/>
        <d v="1899-12-30T09:56:00Z"/>
        <d v="1899-12-30T09:55:00Z"/>
        <d v="1899-12-30T09:54:00Z"/>
        <d v="1899-12-30T09:53:00Z"/>
        <d v="1899-12-30T09:52:00Z"/>
        <d v="1899-12-30T09:51:00Z"/>
        <d v="1899-12-30T09:48:00Z"/>
        <d v="1899-12-30T09:49:00Z"/>
        <d v="1899-12-30T09:47:00Z"/>
        <d v="1899-12-30T09:46:00Z"/>
        <d v="1899-12-30T09:44:00Z"/>
        <d v="1899-12-30T09:43:00Z"/>
        <d v="1899-12-30T09:42:00Z"/>
        <d v="1899-12-30T09:41:00Z"/>
        <d v="1899-12-30T09:40:00Z"/>
        <d v="1899-12-30T09:39:00Z"/>
        <d v="1899-12-30T09:37:00Z"/>
        <d v="1899-12-30T09:35:00Z"/>
        <d v="1899-12-30T09:34:00Z"/>
        <d v="1899-12-30T09:33:00Z"/>
        <d v="1899-12-30T09:32:00Z"/>
        <d v="1899-12-30T09:31:00Z"/>
        <d v="1899-12-30T09:30:00Z"/>
      </sharedItems>
    </cacheField>
    <cacheField name="Ticker" numFmtId="0">
      <sharedItems>
        <s v="SPY"/>
        <s v="PINS"/>
        <s v="XOP"/>
        <s v="FCX"/>
        <s v="XLF"/>
        <s v="QQQ"/>
        <s v="LK"/>
        <s v="TLRY"/>
        <s v="USO"/>
        <s v="MTCH"/>
        <s v="XLE"/>
        <s v="IRBT"/>
        <s v="PTCT"/>
        <s v="AMZN"/>
        <s v="PAYC"/>
        <s v="MSFT"/>
        <s v="BP"/>
        <s v="GDDY"/>
        <s v="UBER"/>
        <s v="NIO"/>
        <s v="VSH"/>
        <s v="PTON"/>
        <s v="CLVS"/>
        <s v="MED"/>
        <s v="SPXU"/>
        <s v="HBI"/>
        <s v="MMP"/>
        <s v="INTC"/>
        <s v="IBB"/>
        <s v="CCC"/>
        <s v="MAT"/>
        <s v="AIG"/>
        <s v="MT"/>
        <s v="SCHW"/>
        <s v="EXEL"/>
        <s v="QCOM"/>
        <s v="SPCE"/>
        <s v="KBR"/>
        <s v="GE"/>
        <s v="NVO"/>
        <s v="EROS"/>
        <s v="AAPL"/>
        <s v="BE"/>
        <s v="UAL"/>
        <s v="TSLA"/>
        <s v="FXH"/>
        <s v="NBL"/>
        <s v="TXN"/>
        <s v="GRUB"/>
        <s v="JPM"/>
        <s v="C"/>
        <s v="BAC"/>
        <s v="SPX"/>
        <s v="NFLX"/>
        <s v="LKQ"/>
        <s v="NUAN"/>
        <s v="GLUU"/>
        <s v="NEM"/>
        <s v="USAC"/>
        <s v="BIDU"/>
        <s v="PBPB"/>
        <s v="CLR"/>
        <s v="TME"/>
        <s v="VHC"/>
        <s v="NFG"/>
        <s v="TWLO"/>
        <s v="WMT"/>
        <s v="GLRE"/>
        <s v="MRVL"/>
        <s v="QD"/>
        <s v="TRIP"/>
        <s v="BA"/>
        <s v="IWM"/>
        <s v="XBI"/>
        <s v="TEVA"/>
        <s v="MLCO"/>
        <s v="X"/>
        <s v="MYL"/>
        <s v="KHC"/>
        <s v="TWTR"/>
        <s v="SBH"/>
        <s v="T"/>
        <s v="LYFT"/>
        <s v="BBD"/>
        <s v="MMM"/>
        <s v="NVT"/>
        <s v="LOPE"/>
        <s v="IBKR"/>
        <s v="ZS"/>
        <s v="DBX"/>
        <s v="SAVE"/>
        <s v="EWZ"/>
        <s v="CMG"/>
        <s v="XLI"/>
        <s v="LOW"/>
        <s v="EXPE"/>
        <s v="MET"/>
        <s v="LQD"/>
        <s v="AMD"/>
        <s v="XOM"/>
        <s v="MO"/>
        <s v="RIG"/>
        <s v="DIS"/>
        <s v="GOOS"/>
        <s v="CRWD"/>
        <s v="ADI"/>
        <s v="MCHP"/>
        <s v="MU"/>
        <s v="EEM"/>
        <s v="IBM"/>
        <s v="HAIN"/>
        <s v="CLF"/>
        <s v="AA"/>
        <s v="BABA"/>
        <s v="BMY"/>
        <s v="ON"/>
        <s v="AMAT"/>
        <s v="EQH"/>
        <s v="AAL"/>
        <s v="SNE"/>
        <s v="PFE"/>
        <s v="CSCO"/>
        <s v="SHOP"/>
        <s v="AYX"/>
        <s v="PSTG"/>
        <s v="ZM"/>
        <s v="KRE"/>
        <s v="KSS"/>
        <s v="GOOG"/>
        <s v="VOLT"/>
        <s v="ZNGA"/>
        <s v="TCOM"/>
        <s v="KEX"/>
        <s v="GOGO"/>
        <s v="MUX"/>
        <s v="ERJ"/>
        <s v="EWJ"/>
        <s v="FEZ"/>
        <s v="MAR"/>
        <s v="I"/>
        <s v="CVNA"/>
        <s v="EBAY"/>
        <s v="SWN"/>
        <s v="DE"/>
        <s v="BILI"/>
        <s v="PDD"/>
        <s v="XLV"/>
        <s v="MPC"/>
        <s v="SGMS"/>
        <s v="CNX"/>
        <s v="MIK"/>
        <s v="PBR"/>
        <s v="TLT"/>
        <s v="LB"/>
        <s v="ALB"/>
        <s v="BSX"/>
        <s v="FXI"/>
        <s v="FB"/>
        <s v="SLB"/>
        <s v="LRCX"/>
        <s v="AEM"/>
        <s v="STM"/>
        <s v="SWKS"/>
        <s v="VXX"/>
        <s v="XLP"/>
        <s v="ZUO"/>
        <s v="GPN"/>
        <s v="F"/>
        <s v="BBY"/>
        <s v="VLO"/>
        <s v="JNJ"/>
        <s v="UNH"/>
        <s v="RH"/>
        <s v="MRK"/>
        <s v="ADP"/>
        <s v="KO"/>
        <s v="REGN"/>
        <s v="YNDX"/>
        <s v="EWT"/>
        <s v="ATVI"/>
        <s v="ABBV"/>
        <s v="AVGO"/>
        <s v="CAT"/>
        <s v="HIMX"/>
        <s v="SNAP"/>
        <s v="NVDA"/>
        <s v="CVS"/>
        <s v="LVS"/>
      </sharedItems>
    </cacheField>
    <cacheField name="Expiry" numFmtId="167">
      <sharedItems containsSemiMixedTypes="0" containsDate="1" containsString="0">
        <d v="2020-02-14T00:00:00Z"/>
        <d v="2020-02-07T00:00:00Z"/>
        <d v="2020-02-21T00:00:00Z"/>
        <d v="2020-06-30T00:00:00Z"/>
        <d v="2020-04-17T00:00:00Z"/>
        <d v="2020-06-19T00:00:00Z"/>
        <d v="2020-02-28T00:00:00Z"/>
        <d v="2020-03-20T00:00:00Z"/>
        <d v="2021-01-15T00:00:00Z"/>
        <d v="2020-03-06T00:00:00Z"/>
        <d v="2020-03-31T00:00:00Z"/>
        <d v="2020-02-10T00:00:00Z"/>
        <d v="2020-10-16T00:00:00Z"/>
        <d v="2020-05-15T00:00:00Z"/>
        <d v="2020-03-13T00:00:00Z"/>
        <d v="2020-09-18T00:00:00Z"/>
        <d v="2020-07-17T00:00:00Z"/>
        <d v="2020-02-12T00:00:00Z"/>
        <d v="2020-08-21T00:00:00Z"/>
        <d v="2022-01-21T00:00:00Z"/>
      </sharedItems>
    </cacheField>
    <cacheField name="Strike" numFmtId="0">
      <sharedItems containsSemiMixedTypes="0" containsString="0" containsNumber="1">
        <n v="332.0"/>
        <n v="21.5"/>
        <n v="20.5"/>
        <n v="12.0"/>
        <n v="31.0"/>
        <n v="240.0"/>
        <n v="65.0"/>
        <n v="17.5"/>
        <n v="11.0"/>
        <n v="21.0"/>
        <n v="12.5"/>
        <n v="70.0"/>
        <n v="14.0"/>
        <n v="55.0"/>
        <n v="45.0"/>
        <n v="50.0"/>
        <n v="2067.5"/>
        <n v="290.0"/>
        <n v="180.0"/>
        <n v="39.0"/>
        <n v="223.5"/>
        <n v="75.0"/>
        <n v="2055.0"/>
        <n v="41.5"/>
        <n v="4.5"/>
        <n v="22.5"/>
        <n v="41.0"/>
        <n v="28.0"/>
        <n v="10.0"/>
        <n v="110.0"/>
        <n v="17.0"/>
        <n v="15.0"/>
        <n v="120.0"/>
        <n v="20.0"/>
        <n v="232.0"/>
        <n v="13.5"/>
        <n v="52.5"/>
        <n v="230.0"/>
        <n v="16.0"/>
        <n v="49.0"/>
        <n v="22.0"/>
        <n v="92.0"/>
        <n v="30.0"/>
        <n v="222.5"/>
        <n v="2.5"/>
        <n v="62.5"/>
        <n v="325.0"/>
        <n v="54.0"/>
        <n v="80.0"/>
        <n v="780.0"/>
        <n v="85.0"/>
        <n v="131.0"/>
        <n v="2085.0"/>
        <n v="67.0"/>
        <n v="95.0"/>
        <n v="140.0"/>
        <n v="35.0"/>
        <n v="3335.0"/>
        <n v="370.0"/>
        <n v="19.0"/>
        <n v="6.0"/>
        <n v="44.12"/>
        <n v="77.5"/>
        <n v="160.0"/>
        <n v="26.5"/>
        <n v="2052.5"/>
        <n v="13.0"/>
        <n v="5.0"/>
        <n v="40.0"/>
        <n v="24.0"/>
        <n v="128.0"/>
        <n v="3.0"/>
        <n v="29.5"/>
        <n v="330.0"/>
        <n v="159.0"/>
        <n v="126.0"/>
        <n v="27.0"/>
        <n v="9.5"/>
        <n v="38.0"/>
        <n v="2100.0"/>
        <n v="233.0"/>
        <n v="38.5"/>
        <n v="19.5"/>
        <n v="8.0"/>
        <n v="25.0"/>
        <n v="185.0"/>
        <n v="335.0"/>
        <n v="60.0"/>
        <n v="42.5"/>
        <n v="800.0"/>
        <n v="400.0"/>
        <n v="44.0"/>
        <n v="767.5"/>
        <n v="880.0"/>
        <n v="83.5"/>
        <n v="37.5"/>
        <n v="125.0"/>
        <n v="133.0"/>
        <n v="30.5"/>
        <n v="50.5"/>
        <n v="53.5"/>
        <n v="63.0"/>
        <n v="46.0"/>
        <n v="143.0"/>
        <n v="145.0"/>
        <n v="62.0"/>
        <n v="119.0"/>
        <n v="112.0"/>
        <n v="55.5"/>
        <n v="34.5"/>
        <n v="2060.0"/>
        <n v="132.0"/>
        <n v="26.0"/>
        <n v="7.5"/>
        <n v="18.0"/>
        <n v="200.0"/>
        <n v="67.5"/>
        <n v="108.0"/>
        <n v="135.0"/>
        <n v="840.0"/>
        <n v="63.5"/>
        <n v="334.0"/>
        <n v="68.0"/>
        <n v="37.0"/>
        <n v="72.5"/>
        <n v="130.0"/>
        <n v="331.0"/>
        <n v="182.5"/>
        <n v="170.0"/>
        <n v="28.5"/>
        <n v="487.5"/>
        <n v="2050.0"/>
        <n v="320.0"/>
        <n v="127.0"/>
        <n v="157.5"/>
        <n v="90.0"/>
        <n v="167.0"/>
        <n v="61.0"/>
        <n v="15.5"/>
        <n v="229.0"/>
        <n v="45.5"/>
        <n v="810.0"/>
        <n v="1550.0"/>
        <n v="9.0"/>
        <n v="167.5"/>
        <n v="6.5"/>
        <n v="1000.0"/>
        <n v="66.0"/>
        <n v="328.0"/>
        <n v="2.0"/>
        <n v="35.5"/>
        <n v="59.5"/>
        <n v="40.5"/>
        <n v="315.0"/>
        <n v="310.0"/>
        <n v="312.5"/>
        <n v="297.5"/>
        <n v="100.0"/>
        <n v="1.5"/>
        <n v="32.0"/>
        <n v="495.0"/>
        <n v="340.0"/>
        <n v="190.0"/>
        <n v="34.0"/>
        <n v="33.0"/>
        <n v="225.5"/>
        <n v="102.0"/>
        <n v="53.0"/>
        <n v="47.0"/>
        <n v="215.0"/>
        <n v="4.0"/>
        <n v="2150.0"/>
        <n v="56.5"/>
        <n v="465.0"/>
        <n v="2020.0"/>
        <n v="380.0"/>
        <n v="16.5"/>
        <n v="322.5"/>
        <n v="2070.0"/>
        <n v="220.0"/>
        <n v="48.0"/>
        <n v="69.0"/>
        <n v="2120.0"/>
        <n v="117.0"/>
        <n v="3.5"/>
        <n v="1100.0"/>
        <n v="316.0"/>
        <n v="195.0"/>
        <n v="54.5"/>
        <n v="920.0"/>
        <n v="333.0"/>
        <n v="150.0"/>
        <n v="2200.0"/>
        <n v="250.0"/>
        <n v="82.0"/>
        <n v="177.5"/>
        <n v="58.5"/>
        <n v="227.5"/>
        <n v="14.5"/>
        <n v="228.0"/>
        <n v="29.0"/>
        <n v="59.0"/>
        <n v="85.5"/>
        <n v="138.0"/>
        <n v="82.5"/>
        <n v="295.0"/>
        <n v="36.0"/>
        <n v="152.5"/>
        <n v="329.0"/>
      </sharedItems>
    </cacheField>
    <cacheField name="Call/Put" numFmtId="0">
      <sharedItems>
        <s v="PUTS"/>
        <s v="CALLS"/>
      </sharedItems>
    </cacheField>
    <cacheField name="Spot Price" numFmtId="0">
      <sharedItems containsSemiMixedTypes="0" containsString="0" containsNumber="1">
        <n v="332.84"/>
        <n v="21.87"/>
        <n v="19.93"/>
        <n v="12.38"/>
        <n v="31.05"/>
        <n v="228.09"/>
        <n v="36.52"/>
        <n v="17.73"/>
        <n v="10.71"/>
        <n v="21.84"/>
        <n v="12.35"/>
        <n v="75.32"/>
        <n v="12.34"/>
        <n v="54.89"/>
        <n v="49.55"/>
        <n v="53.33"/>
        <n v="2044.48"/>
        <n v="319.95"/>
        <n v="180.26"/>
        <n v="37.6"/>
        <n v="53.28"/>
        <n v="228.35"/>
        <n v="68.49"/>
        <n v="2043.59"/>
        <n v="68.58"/>
        <n v="37.0"/>
        <n v="4.42"/>
        <n v="20.97"/>
        <n v="37.01"/>
        <n v="31.94"/>
        <n v="9.83"/>
        <n v="102.83"/>
        <n v="18.08"/>
        <n v="14.55"/>
        <n v="61.05"/>
        <n v="67.31"/>
        <n v="121.94"/>
        <n v="20.43"/>
        <n v="12.36"/>
        <n v="228.16"/>
        <n v="14.11"/>
        <n v="52.36"/>
        <n v="228.33"/>
        <n v="15.82"/>
        <n v="15.81"/>
        <n v="48.25"/>
        <n v="18.48"/>
        <n v="90.99"/>
        <n v="18.61"/>
        <n v="29.04"/>
        <n v="228.55"/>
        <n v="12.8"/>
        <n v="64.42"/>
        <n v="3.06"/>
        <n v="60.77"/>
        <n v="321.89"/>
        <n v="228.73"/>
        <n v="9.35"/>
        <n v="82.28"/>
        <n v="739.07"/>
        <n v="86.51"/>
        <n v="21.21"/>
        <n v="21.18"/>
        <n v="132.62"/>
        <n v="21.86"/>
        <n v="2054.23"/>
        <n v="2054.37"/>
        <n v="2054.44"/>
        <n v="55.61"/>
        <n v="90.75"/>
        <n v="137.12"/>
        <n v="54.75"/>
        <n v="78.77"/>
        <n v="34.65"/>
        <n v="3329.8"/>
        <n v="369.92"/>
        <n v="34.02"/>
        <n v="19.52"/>
        <n v="6.44"/>
        <n v="44.2"/>
        <n v="332.34"/>
        <n v="78.78"/>
        <n v="49.26"/>
        <n v="15.78"/>
        <n v="130.79"/>
        <n v="4.92"/>
        <n v="28.31"/>
        <n v="2049.61"/>
        <n v="13.19"/>
        <n v="4.34"/>
        <n v="44.48"/>
        <n v="19.84"/>
        <n v="127.13"/>
        <n v="116.69"/>
        <n v="25.69"/>
        <n v="2.78"/>
        <n v="29.28"/>
        <n v="327.06"/>
        <n v="166.96"/>
        <n v="166.97"/>
        <n v="167.03"/>
        <n v="167.0"/>
        <n v="96.57"/>
        <n v="12.18"/>
        <n v="126.94"/>
        <n v="20.36"/>
        <n v="9.49"/>
        <n v="23.0"/>
        <n v="29.3"/>
        <n v="12.21"/>
        <n v="29.32"/>
        <n v="33.43"/>
        <n v="33.41"/>
        <n v="9.47"/>
        <n v="32.37"/>
        <n v="9.46"/>
        <n v="2042.08"/>
        <n v="16.04"/>
        <n v="227.78"/>
        <n v="37.77"/>
        <n v="227.81"/>
        <n v="54.93"/>
        <n v="19.94"/>
        <n v="48.03"/>
        <n v="179.33"/>
        <n v="7.93"/>
        <n v="161.45"/>
        <n v="161.44"/>
        <n v="26.88"/>
        <n v="80.24"/>
        <n v="179.01"/>
        <n v="327.94"/>
        <n v="52.8"/>
        <n v="327.41"/>
        <n v="58.94"/>
        <n v="12.79"/>
        <n v="37.31"/>
        <n v="12.17"/>
        <n v="34.7"/>
        <n v="17.59"/>
        <n v="44.61"/>
        <n v="726.24"/>
        <n v="21.83"/>
        <n v="325.87"/>
        <n v="179.0"/>
        <n v="44.97"/>
        <n v="711.71"/>
        <n v="20.01"/>
        <n v="33.34"/>
        <n v="854.73"/>
        <n v="83.67"/>
        <n v="179.11"/>
        <n v="20.04"/>
        <n v="37.74"/>
        <n v="20.05"/>
        <n v="331.94"/>
        <n v="121.67"/>
        <n v="110.12"/>
        <n v="33.39"/>
        <n v="324.15"/>
        <n v="324.0"/>
        <n v="323.92"/>
        <n v="323.86"/>
        <n v="51.67"/>
        <n v="323.63"/>
        <n v="130.19"/>
        <n v="51.65"/>
        <n v="33.48"/>
        <n v="55.0"/>
        <n v="51.66"/>
        <n v="49.8"/>
        <n v="55.02"/>
        <n v="62.54"/>
        <n v="46.55"/>
        <n v="5.11"/>
        <n v="54.98"/>
        <n v="140.62"/>
        <n v="32.6"/>
        <n v="140.69"/>
        <n v="21.79"/>
        <n v="61.22"/>
        <n v="12.13"/>
        <n v="116.11"/>
        <n v="108.56"/>
        <n v="56.75"/>
        <n v="34.73"/>
        <n v="44.0"/>
        <n v="323.74"/>
        <n v="2046.71"/>
        <n v="131.89"/>
        <n v="156.44"/>
        <n v="34.77"/>
        <n v="76.68"/>
        <n v="131.67"/>
        <n v="110.24"/>
        <n v="24.89"/>
        <n v="54.86"/>
        <n v="78.52"/>
        <n v="7.78"/>
        <n v="34.75"/>
        <n v="15.75"/>
        <n v="15.73"/>
        <n v="220.51"/>
        <n v="66.82"/>
        <n v="108.09"/>
        <n v="15.65"/>
        <n v="15.63"/>
        <n v="131.24"/>
        <n v="65.7"/>
        <n v="20.78"/>
        <n v="765.48"/>
        <n v="131.03"/>
        <n v="63.47"/>
        <n v="20.79"/>
        <n v="179.72"/>
        <n v="332.07"/>
        <n v="65.69"/>
        <n v="36.31"/>
        <n v="25.4"/>
        <n v="29.11"/>
        <n v="71.0"/>
        <n v="331.99"/>
        <n v="130.95"/>
        <n v="54.84"/>
        <n v="25.37"/>
        <n v="18.94"/>
        <n v="178.7"/>
        <n v="38.45"/>
        <n v="130.76"/>
        <n v="54.76"/>
        <n v="18.91"/>
        <n v="166.59"/>
        <n v="48.37"/>
        <n v="29.14"/>
        <n v="471.37"/>
        <n v="2039.11"/>
        <n v="323.23"/>
        <n v="322.8"/>
        <n v="128.63"/>
        <n v="178.88"/>
        <n v="12.14"/>
        <n v="135.68"/>
        <n v="135.55"/>
        <n v="18.51"/>
        <n v="155.32"/>
        <n v="155.29"/>
        <n v="86.84"/>
        <n v="130.7"/>
        <n v="166.67"/>
        <n v="54.65"/>
        <n v="166.65"/>
        <n v="56.62"/>
        <n v="179.35"/>
        <n v="15.66"/>
        <n v="219.97"/>
        <n v="12.27"/>
        <n v="219.82"/>
        <n v="78.44"/>
        <n v="227.89"/>
        <n v="45.37"/>
        <n v="65.5"/>
        <n v="87.97"/>
        <n v="156.38"/>
        <n v="779.36"/>
        <n v="1435.29"/>
        <n v="37.61"/>
        <n v="17.68"/>
        <n v="9.36"/>
        <n v="2.49"/>
        <n v="179.66"/>
        <n v="12.19"/>
        <n v="6.04"/>
        <n v="33.84"/>
        <n v="120.14"/>
        <n v="74.42"/>
        <n v="2046.25"/>
        <n v="321.53"/>
        <n v="365.75"/>
        <n v="17.64"/>
        <n v="769.0"/>
        <n v="4.93"/>
        <n v="65.61"/>
        <n v="331.4"/>
        <n v="12.15"/>
        <n v="20.32"/>
        <n v="179.99"/>
        <n v="7.73"/>
        <n v="1.11"/>
        <n v="331.53"/>
        <n v="17.26"/>
        <n v="58.51"/>
        <n v="34.59"/>
        <n v="59.56"/>
        <n v="58.5"/>
        <n v="28.79"/>
        <n v="40.35"/>
        <n v="320.27"/>
        <n v="319.8"/>
        <n v="320.08"/>
        <n v="319.44"/>
        <n v="319.43"/>
        <n v="148.32"/>
        <n v="148.34"/>
        <n v="3.89"/>
        <n v="3.88"/>
        <n v="54.63"/>
        <n v="85.82"/>
        <n v="36.71"/>
        <n v="1.74"/>
        <n v="34.51"/>
        <n v="2036.0"/>
        <n v="35.4"/>
        <n v="472.89"/>
        <n v="331.07"/>
        <n v="180.27"/>
        <n v="180.19"/>
        <n v="167.21"/>
        <n v="22.87"/>
        <n v="33.83"/>
        <n v="33.75"/>
        <n v="319.6"/>
        <n v="34.48"/>
        <n v="330.68"/>
        <n v="35.21"/>
        <n v="226.98"/>
        <n v="137.38"/>
        <n v="102.86"/>
        <n v="227.19"/>
        <n v="180.62"/>
        <n v="180.67"/>
        <n v="54.99"/>
        <n v="19.91"/>
        <n v="49.62"/>
        <n v="218.56"/>
        <n v="35.37"/>
        <n v="4.02"/>
        <n v="26.91"/>
        <n v="7.74"/>
        <n v="181.41"/>
        <n v="66.25"/>
        <n v="32.34"/>
        <n v="181.75"/>
        <n v="2051.46"/>
        <n v="34.5"/>
        <n v="5.31"/>
        <n v="33.4"/>
        <n v="33.42"/>
        <n v="34.53"/>
        <n v="14.53"/>
        <n v="142.26"/>
        <n v="19.77"/>
        <n v="23.78"/>
        <n v="28.66"/>
        <n v="86.27"/>
        <n v="42.91"/>
        <n v="129.65"/>
        <n v="29.24"/>
        <n v="56.48"/>
        <n v="480.91"/>
        <n v="2047.06"/>
        <n v="368.58"/>
        <n v="41.44"/>
        <n v="15.84"/>
        <n v="321.4"/>
        <n v="181.8"/>
        <n v="321.5"/>
        <n v="210.84"/>
        <n v="33.37"/>
        <n v="4.14"/>
        <n v="35.48"/>
        <n v="2052.41"/>
        <n v="219.55"/>
        <n v="35.59"/>
        <n v="15.87"/>
        <n v="48.55"/>
        <n v="326.59"/>
        <n v="59.37"/>
        <n v="6.23"/>
        <n v="332.02"/>
        <n v="66.31"/>
        <n v="2048.81"/>
        <n v="19.8"/>
        <n v="3328.62"/>
        <n v="2051.77"/>
        <n v="35.71"/>
        <n v="21.97"/>
        <n v="30.25"/>
        <n v="119.0"/>
        <n v="14.41"/>
        <n v="63.93"/>
        <n v="34.3"/>
        <n v="38.27"/>
        <n v="4.26"/>
        <n v="66.33"/>
        <n v="15.91"/>
        <n v="797.53"/>
        <n v="331.85"/>
        <n v="201.48"/>
        <n v="15.57"/>
        <n v="15.55"/>
        <n v="54.34"/>
        <n v="8.28"/>
        <n v="88.79"/>
        <n v="6.05"/>
        <n v="3.98"/>
        <n v="801.5"/>
        <n v="82.66"/>
        <n v="129.74"/>
        <n v="61.41"/>
        <n v="153.15"/>
        <n v="2059.58"/>
        <n v="292.92"/>
        <n v="221.28"/>
        <n v="85.77"/>
        <n v="176.81"/>
        <n v="129.34"/>
        <n v="228.82"/>
        <n v="58.99"/>
        <n v="34.21"/>
        <n v="221.1"/>
        <n v="34.2"/>
        <n v="220.63"/>
        <n v="34.17"/>
        <n v="370.17"/>
        <n v="14.58"/>
        <n v="12.31"/>
        <n v="48.32"/>
        <n v="2056.1"/>
        <n v="368.98"/>
        <n v="14.57"/>
        <n v="14.29"/>
        <n v="29.75"/>
        <n v="228.79"/>
        <n v="182.28"/>
        <n v="40.04"/>
        <n v="17.41"/>
        <n v="28.91"/>
        <n v="85.73"/>
        <n v="318.89"/>
        <n v="78.21"/>
        <n v="4.49"/>
        <n v="4.47"/>
        <n v="144.35"/>
        <n v="144.53"/>
        <n v="287.66"/>
        <n v="17.79"/>
        <n v="38.97"/>
        <n v="56.86"/>
        <n v="183.59"/>
        <n v="151.53"/>
        <n v="251.33"/>
        <n v="317.83"/>
        <n v="251.22"/>
        <n v="12.43"/>
        <n v="183.12"/>
        <n v="37.96"/>
        <n v="324.56"/>
        <n v="324.55"/>
        <n v="7.7"/>
        <n v="332.41"/>
        <n v="68.8"/>
        <n v="28.98"/>
        <n v="69.38"/>
        <n v="33.61"/>
      </sharedItems>
    </cacheField>
    <cacheField name="Quantity" numFmtId="0">
      <sharedItems containsSemiMixedTypes="0" containsString="0" containsNumber="1" containsInteger="1">
        <n v="1797.0"/>
        <n v="1473.0"/>
        <n v="2531.0"/>
        <n v="630.0"/>
        <n v="5000.0"/>
        <n v="506.0"/>
        <n v="650.0"/>
        <n v="500.0"/>
        <n v="2000.0"/>
        <n v="600.0"/>
        <n v="1352.0"/>
        <n v="719.0"/>
        <n v="7583.0"/>
        <n v="2375.0"/>
        <n v="261.0"/>
        <n v="731.0"/>
        <n v="180.0"/>
        <n v="191.0"/>
        <n v="2004.0"/>
        <n v="766.0"/>
        <n v="1015.0"/>
        <n v="800.0"/>
        <n v="1308.0"/>
        <n v="56.0"/>
        <n v="1175.0"/>
        <n v="518.0"/>
        <n v="585.0"/>
        <n v="2006.0"/>
        <n v="532.0"/>
        <n v="433.0"/>
        <n v="863.0"/>
        <n v="888.0"/>
        <n v="976.0"/>
        <n v="1205.0"/>
        <n v="857.0"/>
        <n v="1393.0"/>
        <n v="10000.0"/>
        <n v="947.0"/>
        <n v="736.0"/>
        <n v="2500.0"/>
        <n v="1202.0"/>
        <n v="957.0"/>
        <n v="4389.0"/>
        <n v="527.0"/>
        <n v="165.0"/>
        <n v="629.0"/>
        <n v="2507.0"/>
        <n v="876.0"/>
        <n v="620.0"/>
        <n v="550.0"/>
        <n v="1772.0"/>
        <n v="509.0"/>
        <n v="826.0"/>
        <n v="1001.0"/>
        <n v="3000.0"/>
        <n v="132.0"/>
        <n v="951.0"/>
        <n v="442.0"/>
        <n v="653.0"/>
        <n v="100.0"/>
        <n v="152.0"/>
        <n v="193.0"/>
        <n v="163.0"/>
        <n v="1888.0"/>
        <n v="663.0"/>
        <n v="4110.0"/>
        <n v="664.0"/>
        <n v="1022.0"/>
        <n v="250.0"/>
        <n v="299.0"/>
        <n v="563.0"/>
        <n v="531.0"/>
        <n v="1000.0"/>
        <n v="742.0"/>
        <n v="322.0"/>
        <n v="258.0"/>
        <n v="582.0"/>
        <n v="503.0"/>
        <n v="55.0"/>
        <n v="677.0"/>
        <n v="754.0"/>
        <n v="523.0"/>
        <n v="201.0"/>
        <n v="597.0"/>
        <n v="558.0"/>
        <n v="575.0"/>
        <n v="195.0"/>
        <n v="667.0"/>
        <n v="1160.0"/>
        <n v="1193.0"/>
        <n v="2072.0"/>
        <n v="549.0"/>
        <n v="170.0"/>
        <n v="708.0"/>
        <n v="944.0"/>
        <n v="1418.0"/>
        <n v="557.0"/>
        <n v="502.0"/>
        <n v="1943.0"/>
        <n v="885.0"/>
        <n v="644.0"/>
        <n v="3482.0"/>
        <n v="263.0"/>
        <n v="1355.0"/>
        <n v="98.0"/>
        <n v="1543.0"/>
        <n v="581.0"/>
        <n v="954.0"/>
        <n v="1054.0"/>
        <n v="2644.0"/>
        <n v="541.0"/>
        <n v="686.0"/>
        <n v="172.0"/>
        <n v="145.0"/>
        <n v="1236.0"/>
        <n v="296.0"/>
        <n v="617.0"/>
        <n v="651.0"/>
        <n v="850.0"/>
        <n v="1002.0"/>
        <n v="539.0"/>
        <n v="701.0"/>
        <n v="265.0"/>
        <n v="206.0"/>
        <n v="1501.0"/>
        <n v="254.0"/>
        <n v="325.0"/>
        <n v="3078.0"/>
        <n v="897.0"/>
        <n v="216.0"/>
        <n v="1500.0"/>
        <n v="1891.0"/>
        <n v="1073.0"/>
        <n v="636.0"/>
        <n v="1507.0"/>
        <n v="375.0"/>
        <n v="374.0"/>
        <n v="282.0"/>
        <n v="1668.0"/>
        <n v="6488.0"/>
        <n v="569.0"/>
        <n v="1736.0"/>
        <n v="504.0"/>
        <n v="968.0"/>
        <n v="714.0"/>
        <n v="1014.0"/>
        <n v="515.0"/>
        <n v="780.0"/>
        <n v="1006.0"/>
        <n v="300.0"/>
        <n v="530.0"/>
        <n v="510.0"/>
        <n v="200.0"/>
        <n v="1166.0"/>
        <n v="545.0"/>
        <n v="718.0"/>
        <n v="6300.0"/>
        <n v="133.0"/>
        <n v="505.0"/>
        <n v="5778.0"/>
        <n v="1113.0"/>
        <n v="577.0"/>
        <n v="1627.0"/>
        <n v="809.0"/>
        <n v="999.0"/>
        <n v="1281.0"/>
        <n v="584.0"/>
        <n v="1142.0"/>
        <n v="331.0"/>
        <n v="799.0"/>
        <n v="628.0"/>
        <n v="1572.0"/>
        <n v="2022.0"/>
        <n v="399.0"/>
        <n v="622.0"/>
        <n v="757.0"/>
        <n v="199.0"/>
        <n v="2625.0"/>
        <n v="400.0"/>
        <n v="1255.0"/>
        <n v="2228.0"/>
        <n v="924.0"/>
        <n v="1048.0"/>
        <n v="805.0"/>
        <n v="560.0"/>
        <n v="1010.0"/>
        <n v="1983.0"/>
        <n v="608.0"/>
        <n v="141.0"/>
        <n v="1250.0"/>
        <n v="113.0"/>
        <n v="525.0"/>
        <n v="1530.0"/>
        <n v="253.0"/>
        <n v="298.0"/>
        <n v="916.0"/>
        <n v="1129.0"/>
        <n v="522.0"/>
        <n v="228.0"/>
        <n v="171.0"/>
        <n v="648.0"/>
        <n v="266.0"/>
        <n v="3450.0"/>
        <n v="637.0"/>
        <n v="1700.0"/>
        <n v="610.0"/>
        <n v="2008.0"/>
        <n v="363.0"/>
        <n v="533.0"/>
        <n v="763.0"/>
        <n v="772.0"/>
        <n v="1245.0"/>
        <n v="351.0"/>
        <n v="154.0"/>
        <n v="1798.0"/>
        <n v="511.0"/>
        <n v="1060.0"/>
        <n v="1604.0"/>
        <n v="594.0"/>
        <n v="747.0"/>
        <n v="461.0"/>
        <n v="1334.0"/>
        <n v="120.0"/>
        <n v="138.0"/>
        <n v="750.0"/>
        <n v="717.0"/>
        <n v="599.0"/>
        <n v="994.0"/>
        <n v="993.0"/>
        <n v="3488.0"/>
        <n v="683.0"/>
        <n v="5908.0"/>
        <n v="348.0"/>
        <n v="297.0"/>
        <n v="568.0"/>
        <n v="778.0"/>
        <n v="833.0"/>
        <n v="611.0"/>
        <n v="930.0"/>
        <n v="6000.0"/>
        <n v="588.0"/>
        <n v="967.0"/>
        <n v="846.0"/>
        <n v="887.0"/>
        <n v="571.0"/>
        <n v="2108.0"/>
        <n v="825.0"/>
        <n v="974.0"/>
        <n v="1395.0"/>
        <n v="501.0"/>
        <n v="908.0"/>
        <n v="3092.0"/>
        <n v="1311.0"/>
        <n v="2513.0"/>
        <n v="1013.0"/>
        <n v="1024.0"/>
        <n v="700.0"/>
        <n v="699.0"/>
        <n v="670.0"/>
        <n v="97.0"/>
        <n v="1138.0"/>
        <n v="1812.0"/>
        <n v="2652.0"/>
        <n v="551.0"/>
        <n v="411.0"/>
        <n v="566.0"/>
        <n v="556.0"/>
        <n v="376.0"/>
        <n v="75.0"/>
        <n v="878.0"/>
        <n v="782.0"/>
        <n v="196.0"/>
        <n v="271.0"/>
        <n v="137.0"/>
        <n v="2005.0"/>
        <n v="1482.0"/>
        <n v="136.0"/>
        <n v="705.0"/>
        <n v="752.0"/>
        <n v="657.0"/>
        <n v="918.0"/>
        <n v="66.0"/>
        <n v="350.0"/>
        <n v="801.0"/>
        <n v="658.0"/>
        <n v="641.0"/>
        <n v="342.0"/>
        <n v="2024.0"/>
        <n v="1057.0"/>
        <n v="2200.0"/>
        <n v="671.0"/>
        <n v="751.0"/>
        <n v="1094.0"/>
        <n v="1666.0"/>
        <n v="334.0"/>
        <n v="1095.0"/>
        <n v="3248.0"/>
        <n v="978.0"/>
        <n v="50.0"/>
        <n v="4084.0"/>
        <n v="4206.0"/>
        <n v="2052.0"/>
        <n v="294.0"/>
        <n v="601.0"/>
        <n v="1651.0"/>
        <n v="679.0"/>
        <n v="156.0"/>
        <n v="284.0"/>
        <n v="1512.0"/>
        <n v="520.0"/>
        <n v="639.0"/>
        <n v="337.0"/>
        <n v="264.0"/>
        <n v="1075.0"/>
        <n v="3993.0"/>
        <n v="580.0"/>
        <n v="721.0"/>
        <n v="276.0"/>
        <n v="295.0"/>
        <n v="419.0"/>
        <n v="925.0"/>
        <n v="499.0"/>
        <n v="2133.0"/>
        <n v="3152.0"/>
        <n v="972.0"/>
        <n v="2706.0"/>
        <n v="155.0"/>
      </sharedItems>
    </cacheField>
    <cacheField name="Price" numFmtId="0">
      <sharedItems containsSemiMixedTypes="0" containsString="0" containsNumber="1">
        <n v="2.17"/>
        <n v="1.65"/>
        <n v="0.35"/>
        <n v="0.64"/>
        <n v="1.28"/>
        <n v="1.64"/>
        <n v="1.4"/>
        <n v="1.69"/>
        <n v="0.42"/>
        <n v="0.27"/>
        <n v="0.85"/>
        <n v="0.36"/>
        <n v="0.93"/>
        <n v="2.0"/>
        <n v="1.2"/>
        <n v="7.73"/>
        <n v="4.4"/>
        <n v="7.1"/>
        <n v="0.5"/>
        <n v="1.35"/>
        <n v="0.99"/>
        <n v="0.63"/>
        <n v="11.1"/>
        <n v="0.55"/>
        <n v="0.6"/>
        <n v="0.7"/>
        <n v="14.8"/>
        <n v="2.25"/>
        <n v="0.65"/>
        <n v="0.45"/>
        <n v="5.4"/>
        <n v="1.55"/>
        <n v="0.95"/>
        <n v="1.29"/>
        <n v="1.97"/>
        <n v="4.57"/>
        <n v="0.47"/>
        <n v="2.5"/>
        <n v="0.2"/>
        <n v="2.41"/>
        <n v="0.31"/>
        <n v="1.0"/>
        <n v="0.9"/>
        <n v="3.5"/>
        <n v="0.81"/>
        <n v="1.42"/>
        <n v="1.17"/>
        <n v="18.15"/>
        <n v="3.07"/>
        <n v="1.15"/>
        <n v="6.25"/>
        <n v="6.43"/>
        <n v="6.38"/>
        <n v="0.8"/>
        <n v="1.03"/>
        <n v="3.35"/>
        <n v="1.6"/>
        <n v="1.14"/>
        <n v="10.6"/>
        <n v="4.45"/>
        <n v="0.73"/>
        <n v="0.3"/>
        <n v="1.51"/>
        <n v="1.18"/>
        <n v="4.0"/>
        <n v="2.99"/>
        <n v="0.25"/>
        <n v="13.87"/>
        <n v="0.72"/>
        <n v="5.8"/>
        <n v="1.9"/>
        <n v="1.22"/>
        <n v="2.11"/>
        <n v="2.1"/>
        <n v="2.09"/>
        <n v="0.54"/>
        <n v="6.55"/>
        <n v="1.02"/>
        <n v="0.49"/>
        <n v="0.52"/>
        <n v="0.44"/>
        <n v="0.43"/>
        <n v="0.19"/>
        <n v="0.16"/>
        <n v="1.7"/>
        <n v="0.15"/>
        <n v="17.35"/>
        <n v="1.95"/>
        <n v="0.32"/>
        <n v="0.68"/>
        <n v="6.7"/>
        <n v="2.21"/>
        <n v="2.35"/>
        <n v="3.24"/>
        <n v="2.75"/>
        <n v="0.4"/>
        <n v="2.57"/>
        <n v="5.6"/>
        <n v="0.33"/>
        <n v="5.64"/>
        <n v="3.3"/>
        <n v="9.0"/>
        <n v="1.5"/>
        <n v="1.82"/>
        <n v="3.19"/>
        <n v="1.61"/>
        <n v="11.85"/>
        <n v="0.77"/>
        <n v="5.71"/>
        <n v="0.98"/>
        <n v="12.9"/>
        <n v="0.28"/>
        <n v="0.78"/>
        <n v="3.25"/>
        <n v="3.0"/>
        <n v="1.13"/>
        <n v="20.7"/>
        <n v="20.59"/>
        <n v="20.55"/>
        <n v="20.53"/>
        <n v="0.37"/>
        <n v="20.29"/>
        <n v="0.34"/>
        <n v="0.59"/>
        <n v="1.75"/>
        <n v="2.24"/>
        <n v="2.36"/>
        <n v="1.07"/>
        <n v="1.72"/>
        <n v="0.84"/>
        <n v="2.6"/>
        <n v="2.45"/>
        <n v="2.3"/>
        <n v="0.48"/>
        <n v="0.87"/>
        <n v="0.21"/>
        <n v="0.88"/>
        <n v="1.62"/>
        <n v="32.8"/>
        <n v="1.16"/>
        <n v="1.19"/>
        <n v="1.06"/>
        <n v="1.81"/>
        <n v="23.9"/>
        <n v="0.22"/>
        <n v="0.62"/>
        <n v="2.65"/>
        <n v="0.24"/>
        <n v="3.85"/>
        <n v="0.75"/>
        <n v="8.6"/>
        <n v="3.81"/>
        <n v="1.96"/>
        <n v="7.05"/>
        <n v="1.54"/>
        <n v="0.53"/>
        <n v="1.77"/>
        <n v="6.2"/>
        <n v="0.94"/>
        <n v="2.55"/>
        <n v="2.91"/>
        <n v="0.41"/>
        <n v="3.6"/>
        <n v="1.58"/>
        <n v="2.67"/>
        <n v="0.57"/>
        <n v="1.1"/>
        <n v="11.89"/>
        <n v="13.0"/>
        <n v="5.19"/>
        <n v="0.46"/>
        <n v="10.2"/>
        <n v="10.3"/>
        <n v="1.3"/>
        <n v="0.74"/>
        <n v="1.52"/>
        <n v="0.76"/>
        <n v="4.65"/>
        <n v="3.15"/>
        <n v="3.09"/>
        <n v="1.39"/>
        <n v="5.54"/>
        <n v="6.3"/>
        <n v="4.2"/>
        <n v="21.37"/>
        <n v="8.2"/>
        <n v="1.05"/>
        <n v="0.67"/>
        <n v="13.8"/>
        <n v="5.7"/>
        <n v="2.95"/>
        <n v="30.0"/>
        <n v="3.1"/>
        <n v="15.0"/>
        <n v="4.95"/>
        <n v="0.14"/>
        <n v="1.23"/>
        <n v="5.5"/>
        <n v="1.83"/>
        <n v="1.87"/>
        <n v="3.22"/>
        <n v="3.2"/>
        <n v="0.79"/>
        <n v="0.13"/>
        <n v="16.4"/>
        <n v="1.37"/>
        <n v="5.14"/>
        <n v="2.4"/>
        <n v="0.82"/>
        <n v="2.05"/>
        <n v="2.63"/>
        <n v="9.1"/>
        <n v="1.68"/>
        <n v="2.52"/>
        <n v="0.51"/>
        <n v="6.47"/>
        <n v="1.25"/>
        <n v="1.85"/>
        <n v="10.4"/>
        <n v="0.29"/>
        <n v="2.13"/>
        <n v="0.83"/>
        <n v="1.88"/>
        <n v="2.51"/>
        <n v="55.0"/>
        <n v="5.55"/>
        <n v="1.41"/>
        <n v="3.13"/>
        <n v="24.73"/>
        <n v="6.0"/>
        <n v="0.23"/>
        <n v="0.26"/>
        <n v="15.7"/>
        <n v="11.8"/>
        <n v="5.1"/>
        <n v="1.04"/>
        <n v="1.8"/>
        <n v="1.45"/>
        <n v="28.53"/>
        <n v="3.74"/>
        <n v="3.33"/>
        <n v="0.38"/>
        <n v="30.8"/>
        <n v="6.5"/>
        <n v="70.0"/>
        <n v="1.12"/>
        <n v="0.18"/>
        <n v="0.17"/>
        <n v="1.86"/>
        <n v="2.71"/>
        <n v="1.93"/>
        <n v="1.08"/>
        <n v="7.9"/>
        <n v="2.9"/>
        <n v="3.55"/>
        <n v="11.0"/>
        <n v="1.11"/>
        <n v="10.87"/>
        <n v="3.83"/>
        <n v="7.3"/>
      </sharedItems>
    </cacheField>
    <cacheField name="Order Type" numFmtId="0">
      <sharedItems>
        <s v="SPLIT"/>
        <s v="SWEEP"/>
        <s v="BLOCK"/>
      </sharedItems>
    </cacheField>
    <cacheField name="Volume" numFmtId="0">
      <sharedItems containsSemiMixedTypes="0" containsString="0" containsNumber="1" containsInteger="1">
        <n v="7572.0"/>
        <n v="1623.0"/>
        <n v="9740.0"/>
        <n v="10938.0"/>
        <n v="5008.0"/>
        <n v="5005.0"/>
        <n v="8003.0"/>
        <n v="1513.0"/>
        <n v="511.0"/>
        <n v="22166.0"/>
        <n v="695.0"/>
        <n v="5019.0"/>
        <n v="7657.0"/>
        <n v="12613.0"/>
        <n v="4084.0"/>
        <n v="759.0"/>
        <n v="2866.0"/>
        <n v="406.0"/>
        <n v="693.0"/>
        <n v="11775.0"/>
        <n v="3645.0"/>
        <n v="2135.0"/>
        <n v="1123.0"/>
        <n v="2507.0"/>
        <n v="1476.0"/>
        <n v="1180.0"/>
        <n v="559.0"/>
        <n v="7177.0"/>
        <n v="500.0"/>
        <n v="2250.0"/>
        <n v="2238.0"/>
        <n v="768.0"/>
        <n v="1001.0"/>
        <n v="895.0"/>
        <n v="6852.0"/>
        <n v="1226.0"/>
        <n v="778.0"/>
        <n v="919.0"/>
        <n v="5006.0"/>
        <n v="3968.0"/>
        <n v="14127.0"/>
        <n v="947.0"/>
        <n v="1266.0"/>
        <n v="3943.0"/>
        <n v="2572.0"/>
        <n v="1370.0"/>
        <n v="4434.0"/>
        <n v="503.0"/>
        <n v="2382.0"/>
        <n v="6996.0"/>
        <n v="629.0"/>
        <n v="2626.0"/>
        <n v="1436.0"/>
        <n v="1181.0"/>
        <n v="1078.0"/>
        <n v="1798.0"/>
        <n v="7603.0"/>
        <n v="836.0"/>
        <n v="13336.0"/>
        <n v="853.0"/>
        <n v="501.0"/>
        <n v="3309.0"/>
        <n v="6583.0"/>
        <n v="1000.0"/>
        <n v="2389.0"/>
        <n v="1340.0"/>
        <n v="991.0"/>
        <n v="675.0"/>
        <n v="1742.0"/>
        <n v="1616.0"/>
        <n v="1425.0"/>
        <n v="1232.0"/>
        <n v="1039.0"/>
        <n v="569.0"/>
        <n v="6089.0"/>
        <n v="3834.0"/>
        <n v="25021.0"/>
        <n v="7118.0"/>
        <n v="13213.0"/>
        <n v="2563.0"/>
        <n v="8529.0"/>
        <n v="1064.0"/>
        <n v="610.0"/>
        <n v="920.0"/>
        <n v="3017.0"/>
        <n v="6118.0"/>
        <n v="770.0"/>
        <n v="950.0"/>
        <n v="653.0"/>
        <n v="282.0"/>
        <n v="584.0"/>
        <n v="669.0"/>
        <n v="681.0"/>
        <n v="764.0"/>
        <n v="1002.0"/>
        <n v="12368.0"/>
        <n v="320.0"/>
        <n v="3030.0"/>
        <n v="560.0"/>
        <n v="668.0"/>
        <n v="575.0"/>
        <n v="9120.0"/>
        <n v="10693.0"/>
        <n v="9360.0"/>
        <n v="8200.0"/>
        <n v="7007.0"/>
        <n v="789.0"/>
        <n v="45807.0"/>
        <n v="221.0"/>
        <n v="1544.0"/>
        <n v="1293.0"/>
        <n v="1418.0"/>
        <n v="2512.0"/>
        <n v="41802.0"/>
        <n v="1955.0"/>
        <n v="6038.0"/>
        <n v="41300.0"/>
        <n v="4904.0"/>
        <n v="3852.0"/>
        <n v="8086.0"/>
        <n v="3524.0"/>
        <n v="4441.0"/>
        <n v="2808.0"/>
        <n v="1720.0"/>
        <n v="2397.0"/>
        <n v="5068.0"/>
        <n v="1432.0"/>
        <n v="20796.0"/>
        <n v="644.0"/>
        <n v="1624.0"/>
        <n v="5807.0"/>
        <n v="1461.0"/>
        <n v="1904.0"/>
        <n v="1732.0"/>
        <n v="2493.0"/>
        <n v="538.0"/>
        <n v="6525.0"/>
        <n v="1889.0"/>
        <n v="553.0"/>
        <n v="1563.0"/>
        <n v="3243.0"/>
        <n v="8636.0"/>
        <n v="1795.0"/>
        <n v="786.0"/>
        <n v="2156.0"/>
        <n v="316.0"/>
        <n v="18000.0"/>
        <n v="2186.0"/>
        <n v="2790.0"/>
        <n v="5853.0"/>
        <n v="10464.0"/>
        <n v="1227.0"/>
        <n v="13254.0"/>
        <n v="1929.0"/>
        <n v="443.0"/>
        <n v="1154.0"/>
        <n v="1934.0"/>
        <n v="14614.0"/>
        <n v="717.0"/>
        <n v="5061.0"/>
        <n v="26742.0"/>
        <n v="2501.0"/>
        <n v="2338.0"/>
        <n v="3107.0"/>
        <n v="2011.0"/>
        <n v="1603.0"/>
        <n v="999.0"/>
        <n v="7751.0"/>
        <n v="456.0"/>
        <n v="6488.0"/>
        <n v="4562.0"/>
        <n v="2792.0"/>
        <n v="15698.0"/>
        <n v="2929.0"/>
        <n v="809.0"/>
        <n v="1024.0"/>
        <n v="797.0"/>
        <n v="1629.0"/>
        <n v="15194.0"/>
        <n v="383.0"/>
        <n v="588.0"/>
        <n v="5147.0"/>
        <n v="613.0"/>
        <n v="441.0"/>
        <n v="29436.0"/>
        <n v="322.0"/>
        <n v="603.0"/>
        <n v="10713.0"/>
        <n v="6300.0"/>
        <n v="2139.0"/>
        <n v="483.0"/>
        <n v="1953.0"/>
        <n v="2795.0"/>
        <n v="7279.0"/>
        <n v="1905.0"/>
        <n v="1353.0"/>
        <n v="251.0"/>
        <n v="872.0"/>
        <n v="14159.0"/>
        <n v="3811.0"/>
        <n v="2111.0"/>
        <n v="9781.0"/>
        <n v="10083.0"/>
        <n v="6697.0"/>
        <n v="7055.0"/>
        <n v="6753.0"/>
        <n v="1415.0"/>
        <n v="1358.0"/>
        <n v="1724.0"/>
        <n v="806.0"/>
        <n v="5739.0"/>
        <n v="4167.0"/>
        <n v="10437.0"/>
        <n v="1008.0"/>
        <n v="757.0"/>
        <n v="2771.0"/>
        <n v="9841.0"/>
        <n v="465.0"/>
        <n v="3013.0"/>
        <n v="3760.0"/>
        <n v="4622.0"/>
        <n v="1114.0"/>
        <n v="4166.0"/>
        <n v="1004.0"/>
        <n v="2356.0"/>
        <n v="6285.0"/>
        <n v="570.0"/>
        <n v="2630.0"/>
        <n v="608.0"/>
        <n v="6058.0"/>
        <n v="2948.0"/>
        <n v="16479.0"/>
        <n v="1583.0"/>
        <n v="7036.0"/>
        <n v="12316.0"/>
        <n v="765.0"/>
        <n v="2190.0"/>
        <n v="3996.0"/>
        <n v="712.0"/>
        <n v="7957.0"/>
        <n v="1125.0"/>
        <n v="3303.0"/>
        <n v="912.0"/>
        <n v="973.0"/>
        <n v="1168.0"/>
        <n v="15327.0"/>
        <n v="16374.0"/>
        <n v="15814.0"/>
        <n v="828.0"/>
        <n v="600.0"/>
        <n v="651.0"/>
        <n v="3734.0"/>
        <n v="3234.0"/>
        <n v="637.0"/>
        <n v="6704.0"/>
        <n v="6701.0"/>
        <n v="11225.0"/>
        <n v="5694.0"/>
        <n v="1394.0"/>
        <n v="12728.0"/>
        <n v="8791.0"/>
        <n v="1769.0"/>
        <n v="5340.0"/>
        <n v="896.0"/>
        <n v="6790.0"/>
        <n v="541.0"/>
        <n v="5575.0"/>
        <n v="811.0"/>
        <n v="826.0"/>
        <n v="1309.0"/>
        <n v="1789.0"/>
        <n v="2941.0"/>
        <n v="1149.0"/>
        <n v="1264.0"/>
        <n v="4280.0"/>
        <n v="1043.0"/>
        <n v="2070.0"/>
        <n v="1604.0"/>
        <n v="1109.0"/>
        <n v="790.0"/>
        <n v="30488.0"/>
        <n v="3718.0"/>
        <n v="1097.0"/>
        <n v="1508.0"/>
        <n v="1330.0"/>
        <n v="5041.0"/>
        <n v="3536.0"/>
        <n v="531.0"/>
        <n v="2692.0"/>
        <n v="667.0"/>
        <n v="1208.0"/>
        <n v="27152.0"/>
        <n v="10274.0"/>
        <n v="730.0"/>
        <n v="10593.0"/>
        <n v="1140.0"/>
        <n v="1410.0"/>
        <n v="24502.0"/>
        <n v="581.0"/>
        <n v="1210.0"/>
        <n v="3955.0"/>
        <n v="3488.0"/>
        <n v="699.0"/>
        <n v="557.0"/>
        <n v="5908.0"/>
        <n v="2387.0"/>
        <n v="1231.0"/>
        <n v="1859.0"/>
        <n v="1635.0"/>
        <n v="348.0"/>
        <n v="1641.0"/>
        <n v="845.0"/>
        <n v="2125.0"/>
        <n v="1480.0"/>
        <n v="10038.0"/>
        <n v="505.0"/>
        <n v="776.0"/>
        <n v="1037.0"/>
        <n v="878.0"/>
        <n v="25595.0"/>
        <n v="1510.0"/>
        <n v="571.0"/>
        <n v="818.0"/>
        <n v="524.0"/>
        <n v="2302.0"/>
        <n v="7536.0"/>
        <n v="4584.0"/>
        <n v="567.0"/>
        <n v="1011.0"/>
        <n v="2655.0"/>
        <n v="2936.0"/>
        <n v="1920.0"/>
        <n v="2439.0"/>
        <n v="4206.0"/>
        <n v="14903.0"/>
        <n v="518.0"/>
        <n v="3296.0"/>
        <n v="420.0"/>
        <n v="3112.0"/>
        <n v="2146.0"/>
        <n v="10737.0"/>
        <n v="10235.0"/>
        <n v="1970.0"/>
        <n v="3502.0"/>
        <n v="2300.0"/>
        <n v="3320.0"/>
        <n v="1466.0"/>
        <n v="628.0"/>
        <n v="705.0"/>
        <n v="8981.0"/>
        <n v="1103.0"/>
        <n v="1303.0"/>
        <n v="7222.0"/>
        <n v="378.0"/>
        <n v="1030.0"/>
        <n v="530.0"/>
        <n v="13645.0"/>
        <n v="1388.0"/>
        <n v="5752.0"/>
        <n v="504.0"/>
        <n v="2652.0"/>
        <n v="2523.0"/>
        <n v="3538.0"/>
        <n v="909.0"/>
        <n v="935.0"/>
        <n v="1565.0"/>
        <n v="9141.0"/>
        <n v="1740.0"/>
        <n v="446.0"/>
        <n v="138.0"/>
        <n v="4175.0"/>
        <n v="1234.0"/>
        <n v="785.0"/>
        <n v="928.0"/>
        <n v="8214.0"/>
        <n v="723.0"/>
        <n v="5865.0"/>
        <n v="1198.0"/>
        <n v="6938.0"/>
        <n v="707.0"/>
        <n v="5003.0"/>
        <n v="1485.0"/>
        <n v="380.0"/>
        <n v="1260.0"/>
        <n v="2503.0"/>
        <n v="1362.0"/>
        <n v="1704.0"/>
        <n v="660.0"/>
        <n v="14335.0"/>
        <n v="7241.0"/>
        <n v="1620.0"/>
        <n v="3169.0"/>
        <n v="805.0"/>
        <n v="3974.0"/>
        <n v="558.0"/>
        <n v="959.0"/>
        <n v="2051.0"/>
        <n v="686.0"/>
        <n v="1517.0"/>
        <n v="5481.0"/>
        <n v="1177.0"/>
        <n v="641.0"/>
        <n v="1016.0"/>
        <n v="697.0"/>
        <n v="386.0"/>
        <n v="6064.0"/>
        <n v="3430.0"/>
        <n v="2373.0"/>
        <n v="1134.0"/>
        <n v="1158.0"/>
        <n v="910.0"/>
        <n v="1164.0"/>
        <n v="1094.0"/>
        <n v="2735.0"/>
        <n v="1551.0"/>
        <n v="4669.0"/>
        <n v="14789.0"/>
        <n v="1034.0"/>
        <n v="533.0"/>
        <n v="1026.0"/>
        <n v="561.0"/>
        <n v="300.0"/>
        <n v="5633.0"/>
        <n v="762.0"/>
        <n v="4227.0"/>
        <n v="3007.0"/>
        <n v="515.0"/>
        <n v="10625.0"/>
        <n v="554.0"/>
        <n v="8513.0"/>
        <n v="1367.0"/>
        <n v="7060.0"/>
        <n v="1111.0"/>
        <n v="860.0"/>
        <n v="2473.0"/>
        <n v="1825.0"/>
        <n v="2119.0"/>
        <n v="1525.0"/>
        <n v="1554.0"/>
        <n v="1273.0"/>
        <n v="639.0"/>
        <n v="1118.0"/>
        <n v="1502.0"/>
        <n v="353.0"/>
        <n v="269.0"/>
        <n v="1575.0"/>
        <n v="555.0"/>
        <n v="547.0"/>
        <n v="543.0"/>
        <n v="1209.0"/>
        <n v="4053.0"/>
        <n v="1345.0"/>
        <n v="2312.0"/>
        <n v="1019.0"/>
        <n v="729.0"/>
        <n v="507.0"/>
        <n v="963.0"/>
        <n v="930.0"/>
        <n v="721.0"/>
        <n v="1013.0"/>
        <n v="3568.0"/>
        <n v="4093.0"/>
        <n v="2801.0"/>
        <n v="3154.0"/>
        <n v="2706.0"/>
        <n v="671.0"/>
      </sharedItems>
    </cacheField>
    <cacheField name="Open Int" numFmtId="0">
      <sharedItems containsSemiMixedTypes="0" containsString="0" containsNumber="1" containsInteger="1">
        <n v="4264.0"/>
        <n v="384.0"/>
        <n v="7250.0"/>
        <n v="25783.0"/>
        <n v="663.0"/>
        <n v="326.0"/>
        <n v="1521.0"/>
        <n v="1786.0"/>
        <n v="686.0"/>
        <n v="20270.0"/>
        <n v="838.0"/>
        <n v="2847.0"/>
        <n v="4778.0"/>
        <n v="7827.0"/>
        <n v="3250.0"/>
        <n v="1022.0"/>
        <n v="2995.0"/>
        <n v="97.0"/>
        <n v="467.0"/>
        <n v="12076.0"/>
        <n v="28528.0"/>
        <n v="63.0"/>
        <n v="948.0"/>
        <n v="824.0"/>
        <n v="320.0"/>
        <n v="3589.0"/>
        <n v="1194.0"/>
        <n v="1501.0"/>
        <n v="1070.0"/>
        <n v="299.0"/>
        <n v="2114.0"/>
        <n v="69.0"/>
        <n v="2679.0"/>
        <n v="7310.0"/>
        <n v="15443.0"/>
        <n v="836.0"/>
        <n v="912.0"/>
        <n v="5468.0"/>
        <n v="33.0"/>
        <n v="1752.0"/>
        <n v="22494.0"/>
        <n v="257.0"/>
        <n v="2097.0"/>
        <n v="89.0"/>
        <n v="1552.0"/>
        <n v="2763.0"/>
        <n v="520.0"/>
        <n v="851.0"/>
        <n v="390.0"/>
        <n v="369.0"/>
        <n v="5946.0"/>
        <n v="1551.0"/>
        <n v="4419.0"/>
        <n v="85.0"/>
        <n v="3281.0"/>
        <n v="3748.0"/>
        <n v="48.0"/>
        <n v="4438.0"/>
        <n v="1569.0"/>
        <n v="1.0"/>
        <n v="11347.0"/>
        <n v="195.0"/>
        <n v="490.0"/>
        <n v="541.0"/>
        <n v="2023.0"/>
        <n v="5133.0"/>
        <n v="6019.0"/>
        <n v="301.0"/>
        <n v="22762.0"/>
        <n v="12746.0"/>
        <n v="3446.0"/>
        <n v="2765.0"/>
        <n v="1381.0"/>
        <n v="651.0"/>
        <n v="524.0"/>
        <n v="9316.0"/>
        <n v="609.0"/>
        <n v="235.0"/>
        <n v="1145.0"/>
        <n v="4243.0"/>
        <n v="3760.0"/>
        <n v="31.0"/>
        <n v="0.0"/>
        <n v="111.0"/>
        <n v="2251.0"/>
        <n v="2017.0"/>
        <n v="46.0"/>
        <n v="4649.0"/>
        <n v="259.0"/>
        <n v="8797.0"/>
        <n v="307.0"/>
        <n v="2364.0"/>
        <n v="12497.0"/>
        <n v="3155.0"/>
        <n v="6871.0"/>
        <n v="13.0"/>
        <n v="41433.0"/>
        <n v="140.0"/>
        <n v="23440.0"/>
        <n v="4256.0"/>
        <n v="1012.0"/>
        <n v="167.0"/>
        <n v="13761.0"/>
        <n v="7235.0"/>
        <n v="3710.0"/>
        <n v="2056.0"/>
        <n v="4139.0"/>
        <n v="226.0"/>
        <n v="335.0"/>
        <n v="2397.0"/>
        <n v="5.0"/>
        <n v="2052.0"/>
        <n v="24925.0"/>
        <n v="872.0"/>
        <n v="2602.0"/>
        <n v="56.0"/>
        <n v="10550.0"/>
        <n v="509.0"/>
        <n v="136.0"/>
        <n v="49.0"/>
        <n v="15467.0"/>
        <n v="18999.0"/>
        <n v="6303.0"/>
        <n v="8358.0"/>
        <n v="2677.0"/>
        <n v="6945.0"/>
        <n v="351.0"/>
        <n v="1417.0"/>
        <n v="7588.0"/>
        <n v="175.0"/>
        <n v="17942.0"/>
        <n v="4220.0"/>
        <n v="345.0"/>
        <n v="1523.0"/>
        <n v="1976.0"/>
        <n v="1266.0"/>
        <n v="3669.0"/>
        <n v="11046.0"/>
        <n v="932.0"/>
        <n v="12089.0"/>
        <n v="5651.0"/>
        <n v="507.0"/>
        <n v="2067.0"/>
        <n v="10.0"/>
        <n v="7614.0"/>
        <n v="487.0"/>
        <n v="15.0"/>
        <n v="178.0"/>
        <n v="608.0"/>
        <n v="3042.0"/>
        <n v="76.0"/>
        <n v="141.0"/>
        <n v="12547.0"/>
        <n v="554.0"/>
        <n v="142.0"/>
        <n v="43.0"/>
        <n v="182.0"/>
        <n v="312.0"/>
        <n v="3060.0"/>
        <n v="6.0"/>
        <n v="732.0"/>
        <n v="173.0"/>
        <n v="616.0"/>
        <n v="322.0"/>
        <n v="619.0"/>
        <n v="304.0"/>
        <n v="6884.0"/>
        <n v="659.0"/>
        <n v="3906.0"/>
        <n v="6135.0"/>
        <n v="943.0"/>
        <n v="3531.0"/>
        <n v="262.0"/>
        <n v="2458.0"/>
        <n v="2095.0"/>
        <n v="285.0"/>
        <n v="699.0"/>
        <n v="213.0"/>
        <n v="38515.0"/>
        <n v="1338.0"/>
        <n v="1185.0"/>
        <n v="3449.0"/>
        <n v="71.0"/>
        <n v="22766.0"/>
        <n v="65.0"/>
        <n v="4714.0"/>
        <n v="1812.0"/>
        <n v="680.0"/>
        <n v="1337.0"/>
        <n v="6502.0"/>
        <n v="1082.0"/>
        <n v="2255.0"/>
        <n v="894.0"/>
        <n v="2356.0"/>
        <n v="30625.0"/>
        <n v="1630.0"/>
        <n v="1174.0"/>
        <n v="1581.0"/>
        <n v="1771.0"/>
        <n v="4934.0"/>
        <n v="192.0"/>
        <n v="8085.0"/>
        <n v="152.0"/>
        <n v="1356.0"/>
        <n v="44.0"/>
        <n v="121.0"/>
        <n v="4496.0"/>
        <n v="280.0"/>
        <n v="2026.0"/>
        <n v="12093.0"/>
        <n v="19899.0"/>
        <n v="698.0"/>
        <n v="1666.0"/>
        <n v="267.0"/>
        <n v="2197.0"/>
        <n v="421.0"/>
        <n v="1550.0"/>
        <n v="2331.0"/>
        <n v="18334.0"/>
        <n v="1624.0"/>
        <n v="22615.0"/>
        <n v="37556.0"/>
        <n v="4333.0"/>
        <n v="973.0"/>
        <n v="2603.0"/>
        <n v="432.0"/>
        <n v="7.0"/>
        <n v="855.0"/>
        <n v="2053.0"/>
        <n v="13389.0"/>
        <n v="4274.0"/>
        <n v="2374.0"/>
        <n v="42597.0"/>
        <n v="328.0"/>
        <n v="4528.0"/>
        <n v="1137.0"/>
        <n v="5903.0"/>
        <n v="3.0"/>
        <n v="2267.0"/>
        <n v="1773.0"/>
        <n v="999.0"/>
        <n v="278.0"/>
        <n v="2923.0"/>
        <n v="543.0"/>
        <n v="1419.0"/>
        <n v="724.0"/>
        <n v="143581.0"/>
        <n v="4589.0"/>
        <n v="311.0"/>
        <n v="1853.0"/>
        <n v="1328.0"/>
        <n v="451.0"/>
        <n v="18777.0"/>
        <n v="93.0"/>
        <n v="413.0"/>
        <n v="521.0"/>
        <n v="2598.0"/>
        <n v="2310.0"/>
        <n v="7891.0"/>
        <n v="2153.0"/>
        <n v="3003.0"/>
        <n v="2463.0"/>
        <n v="2391.0"/>
        <n v="5124.0"/>
        <n v="2203.0"/>
        <n v="5067.0"/>
        <n v="151.0"/>
        <n v="230.0"/>
        <n v="6469.0"/>
        <n v="18.0"/>
        <n v="1124.0"/>
        <n v="1963.0"/>
        <n v="3846.0"/>
        <n v="9355.0"/>
        <n v="2872.0"/>
        <n v="54318.0"/>
        <n v="36.0"/>
        <n v="402.0"/>
        <n v="787.0"/>
        <n v="468.0"/>
        <n v="434.0"/>
        <n v="4922.0"/>
        <n v="34017.0"/>
        <n v="283.0"/>
        <n v="547.0"/>
        <n v="777.0"/>
        <n v="2324.0"/>
        <n v="633.0"/>
        <n v="26.0"/>
        <n v="449.0"/>
        <n v="20676.0"/>
        <n v="12382.0"/>
        <n v="17438.0"/>
        <n v="216.0"/>
        <n v="3265.0"/>
        <n v="377.0"/>
        <n v="5734.0"/>
        <n v="1815.0"/>
        <n v="742.0"/>
        <n v="3416.0"/>
        <n v="8890.0"/>
        <n v="597.0"/>
        <n v="45128.0"/>
        <n v="4568.0"/>
        <n v="3711.0"/>
        <n v="5640.0"/>
        <n v="431.0"/>
        <n v="251.0"/>
        <n v="5052.0"/>
        <n v="5351.0"/>
        <n v="523.0"/>
        <n v="383.0"/>
        <n v="198.0"/>
        <n v="4130.0"/>
        <n v="439.0"/>
        <n v="5670.0"/>
        <n v="1256.0"/>
        <n v="6097.0"/>
        <n v="3616.0"/>
        <n v="935.0"/>
        <n v="363.0"/>
        <n v="223.0"/>
        <n v="13184.0"/>
        <n v="436.0"/>
        <n v="1182.0"/>
        <n v="2557.0"/>
        <n v="342.0"/>
        <n v="70.0"/>
        <n v="1004.0"/>
        <n v="2033.0"/>
        <n v="1054.0"/>
        <n v="1288.0"/>
        <n v="871.0"/>
        <n v="5347.0"/>
        <n v="1245.0"/>
        <n v="4972.0"/>
        <n v="274.0"/>
        <n v="1409.0"/>
        <n v="3390.0"/>
        <n v="323.0"/>
        <n v="365.0"/>
        <n v="1822.0"/>
        <n v="536.0"/>
        <n v="321.0"/>
        <n v="601.0"/>
        <n v="277.0"/>
        <n v="18635.0"/>
        <n v="248.0"/>
        <n v="735.0"/>
        <n v="6441.0"/>
        <n v="7252.0"/>
        <n v="4402.0"/>
        <n v="412.0"/>
        <n v="6912.0"/>
        <n v="139.0"/>
        <n v="18902.0"/>
        <n v="652.0"/>
        <n v="10468.0"/>
        <n v="1285.0"/>
        <n v="2622.0"/>
        <n v="13637.0"/>
        <n v="17054.0"/>
        <n v="810.0"/>
        <n v="1465.0"/>
        <n v="1672.0"/>
        <n v="355.0"/>
      </sharedItems>
    </cacheField>
    <cacheField name="Premium Paid" numFmtId="164">
      <sharedItems containsSemiMixedTypes="0" containsString="0" containsNumber="1" containsInteger="1">
        <n v="389949.0"/>
        <n v="243030.0"/>
        <n v="88585.0"/>
        <n v="40320.0"/>
        <n v="640000.0"/>
        <n v="82984.0"/>
        <n v="91000.0"/>
        <n v="84500.0"/>
        <n v="84000.0"/>
        <n v="99000.0"/>
        <n v="36504.0"/>
        <n v="61110.0"/>
        <n v="272988.0"/>
        <n v="220875.0"/>
        <n v="52200.0"/>
        <n v="87720.0"/>
        <n v="139140.0"/>
        <n v="84020.0"/>
        <n v="1422840.0"/>
        <n v="38300.0"/>
        <n v="137025.0"/>
        <n v="79200.0"/>
        <n v="82400.0"/>
        <n v="62160.0"/>
        <n v="64625.0"/>
        <n v="32634.0"/>
        <n v="15795.0"/>
        <n v="30000.0"/>
        <n v="128384.0"/>
        <n v="45220.0"/>
        <n v="30266.0"/>
        <n v="1277240.0"/>
        <n v="199800.0"/>
        <n v="63408.0"/>
        <n v="54218.0"/>
        <n v="270000.0"/>
        <n v="132835.0"/>
        <n v="475000.0"/>
        <n v="48755.0"/>
        <n v="1290000.0"/>
        <n v="113640.0"/>
        <n v="144713.0"/>
        <n v="1142500.0"/>
        <n v="56494.0"/>
        <n v="44979.0"/>
        <n v="592491.0"/>
        <n v="22500.0"/>
        <n v="105400.0"/>
        <n v="41250.0"/>
        <n v="12580.0"/>
        <n v="604254.0"/>
        <n v="27156.0"/>
        <n v="102290.0"/>
        <n v="55000.0"/>
        <n v="159448.0"/>
        <n v="178180.0"/>
        <n v="66902.0"/>
        <n v="64063.0"/>
        <n v="17500.0"/>
        <n v="71000.0"/>
        <n v="351000.0"/>
        <n v="239579.0"/>
        <n v="56000.0"/>
        <n v="90000.0"/>
        <n v="42795.0"/>
        <n v="135605.0"/>
        <n v="75095.0"/>
        <n v="62500.0"/>
        <n v="97736.0"/>
        <n v="123134.0"/>
        <n v="103994.0"/>
        <n v="40000.0"/>
        <n v="194464.0"/>
        <n v="222105.0"/>
        <n v="657600.0"/>
        <n v="132800.0"/>
        <n v="116508.0"/>
        <n v="265000.0"/>
        <n v="133055.0"/>
        <n v="36250.0"/>
        <n v="56300.0"/>
        <n v="15930.0"/>
        <n v="1320000.0"/>
        <n v="151000.0"/>
        <n v="87556.0"/>
        <n v="128800.0"/>
        <n v="19500.0"/>
        <n v="77243.0"/>
        <n v="14550.0"/>
        <n v="45270.0"/>
        <n v="76285.0"/>
        <n v="78100.0"/>
        <n v="37684.0"/>
        <n v="37656.0"/>
        <n v="116580.0"/>
        <n v="113430.0"/>
        <n v="60000.0"/>
        <n v="68076.0"/>
        <n v="11760.0"/>
        <n v="14363.0"/>
        <n v="39000.0"/>
        <n v="140737.0"/>
        <n v="243600.0"/>
        <n v="249337.0"/>
        <n v="435120.0"/>
        <n v="63135.0"/>
        <n v="32400.0"/>
        <n v="111350.0"/>
        <n v="24780.0"/>
        <n v="96288.0"/>
        <n v="496295.0"/>
        <n v="27293.0"/>
        <n v="26293.0"/>
        <n v="95207.0"/>
        <n v="44000.0"/>
        <n v="25821.0"/>
        <n v="38055.0"/>
        <n v="12236.0"/>
        <n v="55712.0"/>
        <n v="44710.0"/>
        <n v="20325.0"/>
        <n v="170030.0"/>
        <n v="84865.0"/>
        <n v="113295.0"/>
        <n v="30528.0"/>
        <n v="205530.0"/>
        <n v="449480.0"/>
        <n v="34624.0"/>
        <n v="34612.0"/>
        <n v="670000.0"/>
        <n v="17150.0"/>
        <n v="38012.0"/>
        <n v="31494.0"/>
        <n v="259560.0"/>
        <n v="117970.0"/>
        <n v="162124.0"/>
        <n v="81476.0"/>
        <n v="21960.0"/>
        <n v="51616.0"/>
        <n v="345498.0"/>
        <n v="21483.0"/>
        <n v="479775.0"/>
        <n v="26919.0"/>
        <n v="75460.0"/>
        <n v="20993.0"/>
        <n v="87450.0"/>
        <n v="185400.0"/>
        <n v="225150.0"/>
        <n v="46329.0"/>
        <n v="159296.0"/>
        <n v="385125.0"/>
        <n v="184680.0"/>
        <n v="69068.0"/>
        <n v="123228.0"/>
        <n v="97657.0"/>
        <n v="1935000.0"/>
        <n v="52948.0"/>
        <n v="21000.0"/>
        <n v="67599.0"/>
        <n v="206688.0"/>
        <n v="452100.0"/>
        <n v="75329.0"/>
        <n v="1136430.0"/>
        <n v="772260.0"/>
        <n v="768565.0"/>
        <n v="579028.0"/>
        <n v="61704.0"/>
        <n v="533730.0"/>
        <n v="291960.0"/>
        <n v="19346.0"/>
        <n v="102424.0"/>
        <n v="88200.0"/>
        <n v="30976.0"/>
        <n v="159936.0"/>
        <n v="239304.0"/>
        <n v="55105.0"/>
        <n v="15600.0"/>
        <n v="19114.0"/>
        <n v="86688.0"/>
        <n v="92100.0"/>
        <n v="44520.0"/>
        <n v="156000.0"/>
        <n v="124950.0"/>
        <n v="45999.0"/>
        <n v="59328.0"/>
        <n v="61180.0"/>
        <n v="40742.0"/>
        <n v="47415.0"/>
        <n v="15078.0"/>
        <n v="554400.0"/>
        <n v="33351.0"/>
        <n v="436239.0"/>
        <n v="59454.0"/>
        <n v="29876.0"/>
        <n v="686843.0"/>
        <n v="178080.0"/>
        <n v="61224.0"/>
        <n v="28750.0"/>
        <n v="27775.0"/>
        <n v="81648.0"/>
        <n v="294487.0"/>
        <n v="27506.0"/>
        <n v="19980.0"/>
        <n v="93513.0"/>
        <n v="42632.0"/>
        <n v="34254.0"/>
        <n v="29780.0"/>
        <n v="791090.0"/>
        <n v="17213.0"/>
        <n v="31172.0"/>
        <n v="166410.0"/>
        <n v="39300.0"/>
        <n v="48495.0"/>
        <n v="153575.0"/>
        <n v="40412.0"/>
        <n v="56744.0"/>
        <n v="171140.0"/>
        <n v="1000548.0"/>
        <n v="78400.0"/>
        <n v="74984.0"/>
        <n v="884775.0"/>
        <n v="187152.0"/>
        <n v="31313.0"/>
        <n v="161125.0"/>
        <n v="40250.0"/>
        <n v="29680.0"/>
        <n v="80000.0"/>
        <n v="178770.0"/>
        <n v="329773.0"/>
        <n v="73371.0"/>
        <n v="57247.0"/>
        <n v="35954.0"/>
        <n v="363750.0"/>
        <n v="24600.0"/>
        <n v="25738.0"/>
        <n v="40680.0"/>
        <n v="82921.0"/>
        <n v="70000.0"/>
        <n v="26680.0"/>
        <n v="33117.0"/>
        <n v="168300.0"/>
        <n v="112500.0"/>
        <n v="300801.0"/>
        <n v="519995.0"/>
        <n v="384420.0"/>
        <n v="73280.0"/>
        <n v="586295.0"/>
        <n v="880000.0"/>
        <n v="26320.0"/>
        <n v="23785.0"/>
        <n v="232559.0"/>
        <n v="176130.0"/>
        <n v="84239.0"/>
        <n v="37000.0"/>
        <n v="55993.0"/>
        <n v="75000.0"/>
        <n v="76608.0"/>
        <n v="258750.0"/>
        <n v="48412.0"/>
        <n v="465000.0"/>
        <n v="127500.0"/>
        <n v="192100.0"/>
        <n v="86344.0"/>
        <n v="112230.0"/>
        <n v="35000.0"/>
        <n v="74087.0"/>
        <n v="1108000.0"/>
        <n v="41947.0"/>
        <n v="173698.0"/>
        <n v="784350.0"/>
        <n v="147420.0"/>
        <n v="329051.0"/>
        <n v="1025000.0"/>
        <n v="188790.0"/>
        <n v="12775.0"/>
        <n v="71020.0"/>
        <n v="96240.0"/>
        <n v="1380000.0"/>
        <n v="35046.0"/>
        <n v="16434.0"/>
        <n v="262770.0"/>
        <n v="393530.0"/>
        <n v="900000.0"/>
        <n v="176750.0"/>
        <n v="37200.0"/>
        <n v="12500.0"/>
        <n v="207000.0"/>
        <n v="139000.0"/>
        <n v="147483.0"/>
        <n v="33750.0"/>
        <n v="100380.0"/>
        <n v="296505.0"/>
        <n v="13916.0"/>
        <n v="12000.0"/>
        <n v="31050.0"/>
        <n v="71460.0"/>
        <n v="291256.0"/>
        <n v="15888.0"/>
        <n v="184864.0"/>
        <n v="375645.0"/>
        <n v="28500.0"/>
        <n v="220356.0"/>
        <n v="63670.0"/>
        <n v="29700.0"/>
        <n v="96095.0"/>
        <n v="73402.0"/>
        <n v="107583.0"/>
        <n v="250812.0"/>
        <n v="266555.0"/>
        <n v="58036.0"/>
        <n v="83676.0"/>
        <n v="165000.0"/>
        <n v="46352.0"/>
        <n v="53185.0"/>
        <n v="12208.0"/>
        <n v="11531.0"/>
        <n v="163999.0"/>
        <n v="43363.0"/>
        <n v="46470.0"/>
        <n v="288796.0"/>
        <n v="423969.0"/>
        <n v="301940.0"/>
        <n v="89910.0"/>
        <n v="37500.0"/>
        <n v="320798.0"/>
        <n v="120000.0"/>
        <n v="115230.0"/>
        <n v="41000.0"/>
        <n v="45040.0"/>
        <n v="102500.0"/>
        <n v="238747.0"/>
        <n v="364000.0"/>
        <n v="520659.0"/>
        <n v="502933.0"/>
        <n v="27000.0"/>
        <n v="27706.0"/>
        <n v="66980.0"/>
        <n v="137781.0"/>
        <n v="655820.0"/>
        <n v="154624.0"/>
        <n v="400000.0"/>
        <n v="87500.0"/>
        <n v="263760.0"/>
        <n v="36348.0"/>
        <n v="36247.0"/>
        <n v="30420.0"/>
        <n v="123950.0"/>
        <n v="100880.0"/>
        <n v="15000.0"/>
        <n v="20000.0"/>
        <n v="46500.0"/>
        <n v="47000.0"/>
        <n v="47183.0"/>
        <n v="106500.0"/>
        <n v="187513.0"/>
        <n v="126840.0"/>
        <n v="453568.0"/>
        <n v="490620.0"/>
        <n v="93425.0"/>
        <n v="45733.0"/>
        <n v="94014.0"/>
        <n v="32500.0"/>
        <n v="82180.0"/>
        <n v="73580.0"/>
        <n v="36500.0"/>
        <n v="43536.0"/>
        <n v="94225.0"/>
        <n v="412500.0"/>
        <n v="31600.0"/>
        <n v="40388.0"/>
        <n v="28047.0"/>
        <n v="108780.0"/>
        <n v="38238.0"/>
        <n v="76035.0"/>
        <n v="156500.0"/>
        <n v="64000.0"/>
        <n v="128320.0"/>
        <n v="285000.0"/>
        <n v="303750.0"/>
        <n v="336273.0"/>
        <n v="600000.0"/>
        <n v="16215.0"/>
        <n v="36000.0"/>
        <n v="37600.0"/>
        <n v="236510.0"/>
        <n v="14274.0"/>
        <n v="137700.0"/>
        <n v="24800.0"/>
        <n v="103620.0"/>
        <n v="44110.0"/>
        <n v="413000.0"/>
        <n v="99959.0"/>
        <n v="147858.0"/>
        <n v="25000.0"/>
        <n v="24030.0"/>
        <n v="208000.0"/>
        <n v="108000.0"/>
        <n v="62400.0"/>
        <n v="37506.0"/>
        <n v="87000.0"/>
        <n v="19230.0"/>
        <n v="88000.0"/>
        <n v="15810.0"/>
        <n v="39375.0"/>
        <n v="975595.0"/>
        <n v="756195.0"/>
        <n v="166830.0"/>
        <n v="42280.0"/>
        <n v="38000.0"/>
        <n v="22814.0"/>
        <n v="27200.0"/>
        <n v="21779.0"/>
        <n v="71098.0"/>
        <n v="1028720.0"/>
        <n v="711750.0"/>
        <n v="43025.0"/>
        <n v="355519.0"/>
        <n v="75152.0"/>
        <n v="322740.0"/>
        <n v="350000.0"/>
        <n v="100000.0"/>
        <n v="33000.0"/>
        <n v="183399.0"/>
        <n v="1240620.0"/>
        <n v="229824.0"/>
        <n v="32000.0"/>
        <n v="105930.0"/>
        <n v="18000.0"/>
        <n v="73962.0"/>
        <n v="28067.0"/>
        <n v="25150.0"/>
        <n v="29000.0"/>
        <n v="23086.0"/>
        <n v="115000.0"/>
        <n v="85768.0"/>
        <n v="52767.0"/>
        <n v="51000.0"/>
        <n v="74045.0"/>
        <n v="106954.0"/>
        <n v="140641.0"/>
        <n v="35145.0"/>
        <n v="10000.0"/>
        <n v="24696.0"/>
        <n v="209000.0"/>
        <n v="64595.0"/>
        <n v="21770.0"/>
        <n v="28406.0"/>
        <n v="44080.0"/>
        <n v="19075.0"/>
        <n v="24525.0"/>
        <n v="395000.0"/>
        <n v="311750.0"/>
        <n v="194737.0"/>
        <n v="28518.0"/>
        <n v="28420.0"/>
        <n v="183830.0"/>
        <n v="41627.0"/>
        <n v="61000.0"/>
        <n v="177578.0"/>
        <n v="303600.0"/>
        <n v="32715.0"/>
        <n v="455350.0"/>
        <n v="39920.0"/>
        <n v="23220.0"/>
        <n v="132357.0"/>
        <n v="134756.0"/>
        <n v="59724.0"/>
        <n v="1205920.0"/>
        <n v="30132.0"/>
        <n v="270600.0"/>
        <n v="100650.0"/>
        <n v="113150.0"/>
      </sharedItems>
    </cacheField>
    <cacheField name="Mark" numFmtId="0">
      <sharedItems containsBlank="1">
        <s v=""/>
        <m/>
      </sharedItems>
    </cacheField>
    <cacheField name="Algo Score" numFmtId="0">
      <sharedItems containsSemiMixedTypes="0" containsString="0" containsNumber="1" containsInteger="1">
        <n v="33.0"/>
        <n v="63.0"/>
        <n v="24.0"/>
        <n v="10.0"/>
        <n v="50.0"/>
        <n v="13.0"/>
        <n v="21.0"/>
        <n v="45.0"/>
        <n v="9.0"/>
        <n v="40.0"/>
        <n v="27.0"/>
        <n v="16.0"/>
        <n v="41.0"/>
        <n v="28.0"/>
        <n v="26.0"/>
        <n v="51.0"/>
        <n v="7.0"/>
        <n v="35.0"/>
        <n v="52.0"/>
        <n v="70.0"/>
        <n v="17.0"/>
        <n v="80.0"/>
        <n v="76.0"/>
        <n v="18.0"/>
        <n v="32.0"/>
        <n v="83.0"/>
        <n v="30.0"/>
        <n v="46.0"/>
        <n v="36.0"/>
        <n v="74.0"/>
        <n v="22.0"/>
        <n v="19.0"/>
        <n v="56.0"/>
        <n v="60.0"/>
        <n v="54.0"/>
        <n v="29.0"/>
        <n v="47.0"/>
        <n v="49.0"/>
        <n v="48.0"/>
        <n v="4.0"/>
        <n v="53.0"/>
        <n v="57.0"/>
        <n v="42.0"/>
        <n v="55.0"/>
        <n v="23.0"/>
        <n v="31.0"/>
        <n v="61.0"/>
        <n v="11.0"/>
        <n v="37.0"/>
        <n v="8.0"/>
        <n v="44.0"/>
        <n v="6.0"/>
        <n v="58.0"/>
        <n v="14.0"/>
        <n v="12.0"/>
        <n v="43.0"/>
        <n v="25.0"/>
        <n v="78.0"/>
        <n v="38.0"/>
        <n v="15.0"/>
        <n v="75.0"/>
        <n v="20.0"/>
        <n v="34.0"/>
        <n v="95.0"/>
        <n v="3.0"/>
        <n v="64.0"/>
        <n v="39.0"/>
        <n v="59.0"/>
        <n v="5.0"/>
        <n v="79.0"/>
        <n v="77.0"/>
        <n v="110.0"/>
        <n v="117.0"/>
      </sharedItems>
    </cacheField>
    <cacheField name="Sector" numFmtId="0">
      <sharedItems>
        <s v="ETF/Other"/>
        <s v="Technology"/>
        <s v="Materials"/>
        <s v="Consumer Discretionary"/>
        <s v="Healthcare"/>
        <s v="Consumer Staples/Goods"/>
        <s v="Energy/Oil &amp; Gas"/>
        <s v="Financials"/>
        <s v="Industrials"/>
        <s v="Utilities"/>
        <s v="Telecom"/>
      </sharedItems>
    </cacheField>
    <cacheField name="Unusual" numFmtId="0">
      <sharedItems containsBlank="1">
        <m/>
        <b v="1"/>
      </sharedItems>
    </cacheField>
    <cacheField name="Sentiment" numFmtId="0">
      <sharedItems>
        <s v="bearish"/>
        <s v="bullish"/>
      </sharedItems>
    </cacheField>
    <cacheField name="Golden Sweep" numFmtId="0">
      <sharedItems containsBlank="1">
        <m/>
        <b v="1"/>
      </sharedItems>
    </cacheField>
    <cacheField name="Marker" numFmtId="0">
      <sharedItems>
        <s v="[Day Vol is Greater than OI]"/>
        <s v="[Day Vol is Greater than OI, Largest Position of Open Interest]"/>
        <s v="[]"/>
        <s v="[Day Vol is Greater than OI, Largest Position of Open Interest, Unusual Order]"/>
        <s v="[Unusual Order]"/>
        <s v="[Day Vol is Greater than OI, Unusual Order]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C1:H723" sheet="Dark_Pool"/>
  </cacheSource>
  <cacheFields>
    <cacheField name="Ticker" numFmtId="0">
      <sharedItems containsBlank="1">
        <s v="ZNGA"/>
        <s v="SPY"/>
        <s v="HYG"/>
        <s v="ENLC"/>
        <s v="MAT"/>
        <s v="IEMG"/>
        <s v="AMLP"/>
        <s v="F"/>
        <s v="UBER"/>
        <s v="FLEX"/>
        <s v="VGK"/>
        <s v="GLUU"/>
        <s v="TTMI"/>
        <s v="PFGC"/>
        <s v="FPAC"/>
        <s v="ENR"/>
        <s v="CY"/>
        <s v="RLGY"/>
        <s v="QQQ"/>
        <s v="XLI"/>
        <s v="XEL"/>
        <s v="GLD"/>
        <s v="TXN"/>
        <s v="GGB"/>
        <s v="CHNG"/>
        <s v="CLF"/>
        <s v="AVDL"/>
        <s v="HBAN"/>
        <s v="ON"/>
        <s v="COG"/>
        <s v="JCI"/>
        <s v="USMV"/>
        <s v="FXI"/>
        <s v="WBC"/>
        <s v="SKT"/>
        <s v="AFL"/>
        <s v="ERIC"/>
        <s v="PRNB"/>
        <s v="IWM"/>
        <s v="VICI"/>
        <s v="LEA"/>
        <s v="INTC"/>
        <s v="BAC"/>
        <s v="WU"/>
        <s v="TWTR"/>
        <s v="MTCH"/>
        <s v="USHY"/>
        <s v="NEM"/>
        <s v="BAX"/>
        <s v="APTO"/>
        <s v="ITUB"/>
        <s v="IGSB"/>
        <s v="SNAP"/>
        <s v="AGG"/>
        <s v="TEVA"/>
        <s v="BHVN"/>
        <s v="IEF"/>
        <s v="CYTK"/>
        <s v="EEM"/>
        <s v="ELAN"/>
        <s v="AMX"/>
        <s v="SPEM"/>
        <s v="RIG"/>
        <s v="GM"/>
        <s v="AMCR"/>
        <s v="VWO"/>
        <s v="GE"/>
        <s v="VEA"/>
        <s v="DOC"/>
        <s v="XMLV"/>
        <s v="GILD"/>
        <s v="VIG"/>
        <s v="AA"/>
        <s v="WLK"/>
        <s v="EWH"/>
        <s v="AVTR"/>
        <s v="NET"/>
        <s v="EWZ"/>
        <s v="CAH"/>
        <s v="IBN"/>
        <s v="XLF"/>
        <s v="M"/>
        <s v="BMY"/>
        <s v="HBI"/>
        <s v="EZU"/>
        <s v="CNP"/>
        <s v="WFC"/>
        <s v="IDV"/>
        <s v="IEFA"/>
        <s v="GVA"/>
        <s v="DIS"/>
        <s v="EFA"/>
        <s v="IVV"/>
        <s v="LQD"/>
        <s v="X"/>
        <s v="IQ"/>
        <s v="CORT"/>
        <s v="BP"/>
        <s v="RAD"/>
        <s v="LOPE"/>
        <s v="BBD"/>
        <s v="RDFN"/>
        <s v="PBYI"/>
        <s v="GSK"/>
        <s v="XLV"/>
        <s v="IGLB"/>
        <s v="INSP"/>
        <s v="SLV"/>
        <s v="XOM"/>
        <s v="VALE"/>
        <s v="VVV"/>
        <s v="GT"/>
        <s v="CGC"/>
        <s v="INFY"/>
        <s v="CTXS"/>
        <s v="FOXA"/>
        <s v="DBX"/>
        <s v="MDLA"/>
        <s v="QGEN"/>
        <s v="GSKY"/>
        <s v="LXP"/>
        <s v="SLB"/>
        <s v="NVST"/>
        <s v="KO"/>
        <s v="NVS"/>
        <s v="SCHW"/>
        <s v="NUAN"/>
        <s v="AMTD"/>
        <s v="EWY"/>
        <s v="AMD"/>
        <s v="UNIT"/>
        <s v="OVV"/>
        <s v="CBD"/>
        <s v="ASHR"/>
        <s v="TW"/>
        <s v="PCG"/>
        <s v="EQNR"/>
        <s v="STAY"/>
        <s v="FIT"/>
        <s v="EBAY"/>
        <s v="DOYU"/>
        <s v="GMAB"/>
        <s v="DHT"/>
        <s v="CHRS"/>
        <s v="CMS"/>
        <s v="MO"/>
        <s v="SH"/>
        <s v="FCX"/>
        <s v="NYMT"/>
        <s v="CLVS"/>
        <s v="COTY"/>
        <s v="SQQQ"/>
        <s v="SIRI"/>
        <s v="KEY"/>
        <s v="LBTYK"/>
        <s v="BSX"/>
        <s v="COUP"/>
        <s v="PBR"/>
        <s v="FEYE"/>
        <s v="PAA"/>
        <s v="TGTX"/>
        <s v="PCY"/>
        <s v="NLY"/>
        <s v="HSIC"/>
        <s v="VSLR"/>
        <s v="JNK"/>
        <s v="KWEB"/>
        <s v="SFM"/>
        <s v="LB"/>
        <s v="TMV"/>
        <s v="PBR/A"/>
        <s v="PFE"/>
        <s v="SYF"/>
        <s v="XOP"/>
        <s v="AAPL"/>
        <s v="MSFT"/>
        <s v="BKLN"/>
        <s v="ADPT"/>
        <s v="UN"/>
        <s v="CZR"/>
        <s v="SBH"/>
        <s v="PLAN"/>
        <s v="BKR"/>
        <s v="VER"/>
        <s v="NAV"/>
        <s v="AGNC"/>
        <s v="RSX"/>
        <s v="MPC"/>
        <s v="VRTU"/>
        <s v="HPQ"/>
        <s v="TSLA"/>
        <s v="NLOK"/>
        <s v="HDGE"/>
        <s v="GDX"/>
        <s v="TME"/>
        <s v="RDS/A"/>
        <s v="DLTR"/>
        <s v="MNST"/>
        <s v="IQV"/>
        <s v="IXC"/>
        <s v="GOGO"/>
        <s v="TMUS"/>
        <s v="SBUX"/>
        <s v="RCUS"/>
        <s v="ENB"/>
        <s v="DEI"/>
        <s v="CBB"/>
        <s v="MBT"/>
        <s v="CMCSA"/>
        <s v="GSIE"/>
        <s v="CHU"/>
        <s v="NTCO"/>
        <s v="INOV"/>
        <s v="ETRN"/>
        <s v="COP"/>
        <s v="VT"/>
        <s v="HST"/>
        <s v="TX"/>
        <s v="IVR"/>
        <s v="KYN"/>
        <s v="PXH"/>
        <s v="XLE"/>
        <s v="CNC"/>
        <s v="DBP"/>
        <s v="DBA"/>
        <s v="DBB"/>
        <s v="DBE"/>
        <s v="CADE"/>
        <s v="WORK"/>
        <s v="DIA"/>
        <s v="XBIT"/>
        <s v="HAL"/>
        <s v="MMM"/>
        <s v="NWL"/>
        <s v="ET"/>
        <s v="V"/>
        <s v="UTX"/>
        <s v="SO"/>
        <s v="QCOM"/>
        <s v="MCD"/>
        <s v="LOW"/>
        <s v="KHC"/>
        <s v="JNJ"/>
        <s v="HON"/>
        <s v="EXC"/>
        <s v="ETN"/>
        <s v="EA"/>
        <s v="DAL"/>
        <s v="CVX"/>
        <s v="CI"/>
        <s v="C"/>
        <s v="BRK/B"/>
        <s v="ADBE"/>
        <s v="ACWX"/>
        <s v="DRNA"/>
        <s v="CVS"/>
        <s v="WMB"/>
        <s v="AEP"/>
        <s v="ZAYO"/>
        <s v="SMFG"/>
        <m/>
      </sharedItems>
    </cacheField>
    <cacheField name="Share Quantity" numFmtId="0">
      <sharedItems containsString="0" containsBlank="1" containsNumber="1" containsInteger="1">
        <n v="275000.0"/>
        <n v="251562.0"/>
        <n v="530000.0"/>
        <n v="250000.0"/>
        <n v="9987400.0"/>
        <n v="400000.0"/>
        <n v="940000.0"/>
        <n v="361200.0"/>
        <n v="500000.0"/>
        <n v="950000.0"/>
        <n v="401704.0"/>
        <n v="200000.0"/>
        <n v="193000.0"/>
        <n v="380063.0"/>
        <n v="253453.0"/>
        <n v="295195.0"/>
        <n v="330000.0"/>
        <n v="302300.0"/>
        <n v="245034.0"/>
        <n v="440000.0"/>
        <n v="249600.0"/>
        <n v="412500.0"/>
        <n v="192500.0"/>
        <n v="424100.0"/>
        <n v="256000.0"/>
        <n v="192000.0"/>
        <n v="464500.0"/>
        <n v="183300.0"/>
        <n v="212461.0"/>
        <n v="647777.0"/>
        <n v="152000.0"/>
        <n v="267400.0"/>
        <n v="1000000.0"/>
        <n v="150000.0"/>
        <n v="342084.0"/>
        <n v="256389.0"/>
        <n v="495000.0"/>
        <n v="167689.0"/>
        <n v="246785.0"/>
        <n v="240199.0"/>
        <n v="279653.0"/>
        <n v="700000.0"/>
        <n v="248200.0"/>
        <n v="380000.0"/>
        <n v="156000.0"/>
        <n v="590000.0"/>
        <n v="231000.0"/>
        <n v="225000.0"/>
        <n v="432500.0"/>
        <n v="252018.0"/>
        <n v="168000.0"/>
        <n v="436900.0"/>
        <n v="301300.0"/>
        <n v="199200.0"/>
        <n v="351400.0"/>
        <n v="300000.0"/>
        <n v="315000.0"/>
        <n v="169753.0"/>
        <n v="474460.0"/>
        <n v="441840.0"/>
        <n v="199500.0"/>
        <n v="414020.0"/>
        <n v="197200.0"/>
        <n v="503574.0"/>
        <n v="247400.0"/>
        <n v="280000.0"/>
        <n v="194275.0"/>
        <n v="155636.0"/>
        <n v="230053.0"/>
        <n v="261858.0"/>
        <n v="260000.0"/>
        <n v="337300.0"/>
        <n v="185000.0"/>
        <n v="167526.0"/>
        <n v="399830.0"/>
        <n v="181160.0"/>
        <n v="233782.0"/>
        <n v="379606.0"/>
        <n v="195300.0"/>
        <n v="779231.0"/>
        <n v="417000.0"/>
        <n v="834000.0"/>
        <n v="196500.0"/>
        <n v="222400.0"/>
        <n v="838873.0"/>
        <n v="215577.0"/>
        <n v="286700.0"/>
        <n v="323000.0"/>
        <n v="297700.0"/>
        <n v="219400.0"/>
        <n v="484900.0"/>
        <n v="364000.0"/>
        <n v="497845.0"/>
        <n v="164776.0"/>
        <n v="153227.0"/>
        <n v="248900.0"/>
        <n v="506421.0"/>
        <n v="325000.0"/>
        <n v="320000.0"/>
        <n v="523044.0"/>
        <n v="255225.0"/>
        <n v="259300.0"/>
        <n v="396000.0"/>
        <n v="216100.0"/>
        <n v="300073.0"/>
        <n v="171100.0"/>
        <n v="373750.0"/>
        <n v="1400000.0"/>
        <n v="477200.0"/>
        <n v="181700.0"/>
        <n v="167500.0"/>
        <n v="190335.0"/>
        <n v="214500.0"/>
        <n v="350000.0"/>
        <n v="235000.0"/>
        <n v="205000.0"/>
        <n v="776790.0"/>
        <n v="158000.0"/>
        <n v="221600.0"/>
        <n v="3900053.0"/>
        <n v="3251307.0"/>
        <n v="171000.0"/>
        <n v="295000.0"/>
        <n v="475932.0"/>
        <n v="263900.0"/>
        <n v="226780.0"/>
        <n v="1195000.0"/>
        <n v="911766.0"/>
        <n v="535586.0"/>
        <n v="224500.0"/>
        <n v="341211.0"/>
        <n v="393243.0"/>
        <n v="962411.0"/>
        <n v="960000.0"/>
        <n v="611000.0"/>
        <n v="202607.0"/>
        <n v="220000.0"/>
        <n v="199300.0"/>
        <n v="517900.0"/>
        <n v="347300.0"/>
        <n v="404806.0"/>
        <n v="292953.0"/>
        <n v="166193.0"/>
        <n v="441900.0"/>
        <n v="191959.0"/>
        <n v="750000.0"/>
        <n v="729000.0"/>
        <n v="189952.0"/>
        <n v="172234.0"/>
        <n v="216740.0"/>
        <n v="416013.0"/>
        <n v="430809.0"/>
        <n v="861618.0"/>
        <n v="334000.0"/>
        <n v="528789.0"/>
        <n v="314800.0"/>
        <n v="194938.0"/>
        <n v="350675.0"/>
        <n v="535626.0"/>
        <n v="417735.0"/>
        <n v="648000.0"/>
        <n v="192350.0"/>
        <n v="183500.0"/>
        <n v="338958.0"/>
        <n v="272099.0"/>
        <n v="383730.0"/>
        <n v="248800.0"/>
        <n v="255000.0"/>
        <n v="401678.0"/>
        <n v="290000.0"/>
        <n v="187300.0"/>
        <n v="300900.0"/>
        <n v="616100.0"/>
        <n v="3563631.0"/>
        <n v="419099.0"/>
        <n v="196900.0"/>
        <n v="540000.0"/>
        <n v="153689.0"/>
        <n v="497800.0"/>
        <n v="2000000.0"/>
        <n v="271562.0"/>
        <n v="175300.0"/>
        <n v="359500.0"/>
        <n v="963891.0"/>
        <n v="973320.0"/>
        <n v="253125.0"/>
        <n v="151700.0"/>
        <n v="720000.0"/>
        <n v="153037.0"/>
        <n v="240945.0"/>
        <n v="1162700.0"/>
        <n v="472656.0"/>
        <n v="446949.0"/>
        <n v="795000.0"/>
        <n v="248898.0"/>
        <n v="3632933.0"/>
        <n v="190000.0"/>
        <n v="450000.0"/>
        <n v="556300.0"/>
        <n v="525000.0"/>
        <n v="396176.0"/>
        <n v="198095.0"/>
        <n v="380648.0"/>
        <n v="440400.0"/>
        <n v="181447.0"/>
        <n v="263870.0"/>
        <n v="350300.0"/>
        <n v="192300.0"/>
        <n v="160000.0"/>
        <n v="437385.0"/>
        <n v="268809.0"/>
        <n v="389600.0"/>
        <n v="217982.0"/>
        <n v="575000.0"/>
        <n v="530355.0"/>
        <n v="503900.0"/>
        <n v="1846000.0"/>
        <n v="288590.0"/>
        <n v="163500.0"/>
        <n v="390000.0"/>
        <n v="600000.0"/>
        <n v="200884.0"/>
        <n v="859473.0"/>
        <n v="170352.0"/>
        <n v="496195.0"/>
        <n v="410000.0"/>
        <n v="363480.0"/>
        <n v="1650000.0"/>
        <n v="759300.0"/>
        <n v="1785000.0"/>
        <n v="308290.0"/>
        <n v="153700.0"/>
        <n v="175000.0"/>
        <n v="254440.0"/>
        <n v="308000.0"/>
        <n v="151055.0"/>
        <n v="246100.0"/>
        <n v="151300.0"/>
        <n v="570000.0"/>
        <n v="296500.0"/>
        <n v="267601.0"/>
        <n v="251532.0"/>
        <n v="503064.0"/>
        <n v="441000.0"/>
        <n v="270000.0"/>
        <n v="185623.0"/>
        <n v="310433.0"/>
        <n v="195792.0"/>
        <n v="359078.0"/>
        <n v="373000.0"/>
        <n v="312000.0"/>
        <n v="340000.0"/>
        <n v="169100.0"/>
        <n v="159585.0"/>
        <n v="377278.0"/>
        <n v="290700.0"/>
        <n v="178000.0"/>
        <n v="424684.0"/>
        <n v="165000.0"/>
        <n v="236010.0"/>
        <n v="325193.0"/>
        <n v="482444.0"/>
        <n v="195600.0"/>
        <n v="283333.0"/>
        <n v="430000.0"/>
        <n v="1034330.0"/>
        <n v="589921.0"/>
        <n v="630210.0"/>
        <n v="468000.0"/>
        <n v="336000.0"/>
        <n v="193792.0"/>
        <n v="330100.0"/>
        <n v="455100.0"/>
        <n v="270507.0"/>
        <n v="398527.0"/>
        <n v="240700.0"/>
        <n v="172588.0"/>
        <n v="252080.0"/>
        <n v="267919.0"/>
        <n v="1414422.0"/>
        <n v="594800.0"/>
        <n v="368188.0"/>
        <n v="294860.0"/>
        <n v="1917100.0"/>
        <n v="298147.0"/>
        <n v="257177.0"/>
        <n v="172727.0"/>
        <n v="245005.0"/>
        <n v="520000.0"/>
        <n v="776696.0"/>
        <n v="183760.0"/>
        <n v="157740.0"/>
        <n v="161100.0"/>
        <n v="203500.0"/>
        <n v="245000.0"/>
        <n v="228362.0"/>
        <n v="482700.0"/>
        <n v="282900.0"/>
        <n v="479600.0"/>
        <n v="924100.0"/>
        <n v="760000.0"/>
        <n v="271000.0"/>
        <n v="371000.0"/>
        <n v="569300.0"/>
        <n v="1000100.0"/>
        <n v="1814800.0"/>
        <n v="634391.0"/>
        <n v="556100.0"/>
        <n v="264929.0"/>
        <n v="269000.0"/>
        <n v="572000.0"/>
        <n v="258873.0"/>
        <n v="252049.0"/>
        <n v="1020000.0"/>
        <n v="317800.0"/>
        <n v="180000.0"/>
        <n v="199000.0"/>
        <n v="167618.0"/>
        <n v="272356.0"/>
        <n v="197800.0"/>
        <n v="430649.0"/>
        <n v="297785.0"/>
        <n v="166752.0"/>
        <n v="360000.0"/>
        <n v="230888.0"/>
        <n v="307641.0"/>
        <n v="263481.0"/>
        <n v="322518.0"/>
        <n v="2263673.0"/>
        <n v="2184870.0"/>
        <n v="167243.0"/>
        <n v="1086547.0"/>
        <n v="338996.0"/>
        <n v="517671.0"/>
        <n v="362646.0"/>
        <n v="506352.0"/>
        <n v="525012.0"/>
        <n v="165490.0"/>
        <n v="1543479.0"/>
        <n v="696441.0"/>
        <n v="279500.0"/>
        <n v="560000.0"/>
        <n v="286916.0"/>
        <n v="181507.0"/>
        <n v="282562.0"/>
        <n v="253087.0"/>
        <n v="537705.0"/>
        <n v="274757.0"/>
        <n v="306174.0"/>
        <n v="359974.0"/>
        <n v="183400.0"/>
        <n v="403518.0"/>
        <n v="168298.0"/>
        <n v="1579650.0"/>
        <n v="2077500.0"/>
        <n v="193800.0"/>
        <n v="401266.0"/>
        <n v="155100.0"/>
        <n v="300800.0"/>
        <n v="1317000.0"/>
        <n v="190524.0"/>
        <n v="221400.0"/>
        <n v="4100000.0"/>
        <n v="247928.0"/>
        <m/>
      </sharedItems>
    </cacheField>
    <cacheField name="Spot Price" numFmtId="170">
      <sharedItems containsString="0" containsBlank="1" containsNumber="1">
        <n v="5.94"/>
        <n v="329.07"/>
        <n v="88.04"/>
        <n v="5.17"/>
        <n v="14.17"/>
        <n v="52.72"/>
        <n v="8.17"/>
        <n v="8.31"/>
        <n v="36.9"/>
        <n v="13.6"/>
        <n v="58.39"/>
        <n v="6.45"/>
        <n v="15.13"/>
        <n v="52.5"/>
        <n v="10.77"/>
        <n v="51.0"/>
        <n v="23.43"/>
        <n v="11.52"/>
        <n v="228.27"/>
        <n v="83.94"/>
        <n v="36.77"/>
        <n v="87.93"/>
        <n v="69.27"/>
        <n v="146.6"/>
        <n v="132.26"/>
        <n v="5.05"/>
        <n v="228.5"/>
        <n v="16.0"/>
        <n v="16.03"/>
        <n v="7.82"/>
        <n v="6.9"/>
        <n v="14.06"/>
        <n v="21.06"/>
        <n v="23.42"/>
        <n v="14.73"/>
        <n v="13.45"/>
        <n v="39.8"/>
        <n v="68.47"/>
        <n v="41.44"/>
        <n v="87.97"/>
        <n v="332.97"/>
        <n v="135.9"/>
        <n v="87.9"/>
        <n v="14.26"/>
        <n v="37.2"/>
        <n v="52.99"/>
        <n v="8.13"/>
        <n v="37.22"/>
        <n v="60.4"/>
        <n v="167.3"/>
        <n v="26.92"/>
        <n v="126.75"/>
        <n v="67.17"/>
        <n v="34.64"/>
        <n v="27.95"/>
        <n v="33.4"/>
        <n v="76.26"/>
        <n v="41.19"/>
        <n v="164.78"/>
        <n v="44.13"/>
        <n v="6.98"/>
        <n v="6.95"/>
        <n v="91.25"/>
        <n v="20.94"/>
        <n v="6.7"/>
        <n v="7.09"/>
        <n v="7.9"/>
        <n v="68.41"/>
        <n v="53.92"/>
        <n v="16.31"/>
        <n v="113.84"/>
        <n v="12.23"/>
        <n v="53.49"/>
        <n v="112.75"/>
        <n v="13.95"/>
        <n v="43.9"/>
        <n v="6.47"/>
        <n v="31.85"/>
        <n v="17.2"/>
        <n v="36.68"/>
        <n v="43.91"/>
        <n v="5.09"/>
        <n v="20.89"/>
        <n v="34.55"/>
        <n v="11.06"/>
        <n v="43.47"/>
        <n v="14.22"/>
        <n v="13.3"/>
        <n v="12.8"/>
        <n v="43.95"/>
        <n v="19.63"/>
        <n v="54.71"/>
        <n v="23.41"/>
        <n v="66.1"/>
        <n v="23.4"/>
        <n v="332.2"/>
        <n v="129.0"/>
        <n v="227.81"/>
        <n v="15.78"/>
        <n v="63.75"/>
        <n v="8.32"/>
        <n v="23.56"/>
        <n v="37.4"/>
        <n v="19.15"/>
        <n v="41.37"/>
        <n v="17.85"/>
        <n v="44.97"/>
        <n v="52.71"/>
        <n v="14.98"/>
        <n v="30.89"/>
        <n v="17.04"/>
        <n v="65.55"/>
        <n v="17.12"/>
        <n v="14.53"/>
        <n v="14.2"/>
        <n v="41.74"/>
        <n v="26.77"/>
        <n v="26.78"/>
        <n v="48.22"/>
        <n v="33.54"/>
        <n v="65.14"/>
        <n v="16.43"/>
        <n v="27.75"/>
        <n v="139.18"/>
        <n v="69.31"/>
        <n v="28.0"/>
        <n v="330.55"/>
        <n v="44.9"/>
        <n v="16.7"/>
        <n v="14.25"/>
        <n v="130.21"/>
        <n v="7.86"/>
        <n v="14.99"/>
        <n v="15.0"/>
        <n v="9.46"/>
        <n v="16.82"/>
        <n v="24.12"/>
        <n v="130.17"/>
        <n v="13.12"/>
        <n v="332.03"/>
        <n v="37.5"/>
        <n v="12.11"/>
        <n v="37.57"/>
        <n v="329.06"/>
        <n v="8.29"/>
        <n v="12.63"/>
        <n v="78.96"/>
        <n v="112.71"/>
        <n v="7.89"/>
        <n v="25.5"/>
        <n v="13.75"/>
        <n v="45.2"/>
        <n v="12.72"/>
        <n v="16.9"/>
        <n v="103.67"/>
        <n v="68.42"/>
        <n v="74.0"/>
        <n v="16.45"/>
        <n v="62.4"/>
        <n v="12.45"/>
        <n v="15.02"/>
        <n v="45.0"/>
        <n v="22.5"/>
        <n v="87.91"/>
        <n v="13.67"/>
        <n v="16.73"/>
        <n v="21.91"/>
        <n v="11.05"/>
        <n v="123.4"/>
        <n v="14.03"/>
        <n v="38.74"/>
        <n v="16.89"/>
        <n v="7.74"/>
        <n v="17.66"/>
        <n v="27.5"/>
        <n v="14.31"/>
        <n v="35.15"/>
        <n v="9.49"/>
        <n v="14.39"/>
        <n v="16.91"/>
        <n v="11.24"/>
        <n v="35.19"/>
        <n v="41.18"/>
        <n v="37.74"/>
        <n v="28.75"/>
        <n v="13.63"/>
        <n v="17.01"/>
        <n v="58.88"/>
        <n v="96.18"/>
        <n v="47.72"/>
        <n v="19.56"/>
        <n v="15.05"/>
        <n v="49.71"/>
        <n v="58.89"/>
        <n v="37.65"/>
        <n v="52.8"/>
        <n v="69.32"/>
        <n v="45.44"/>
        <n v="60.69"/>
        <n v="128.85"/>
        <n v="87.94"/>
        <n v="49.9"/>
        <n v="45.39"/>
        <n v="7.15"/>
        <n v="16.8"/>
        <n v="77.19"/>
        <n v="20.14"/>
        <n v="27.68"/>
        <n v="45.65"/>
        <n v="17.02"/>
        <n v="18.66"/>
        <n v="13.1"/>
        <n v="6.55"/>
        <n v="36.85"/>
        <n v="8.0"/>
        <n v="23.92"/>
        <n v="45.74"/>
        <n v="5.8"/>
        <n v="23.36"/>
        <n v="19.05"/>
        <n v="43.56"/>
        <n v="12.37"/>
        <n v="83.42"/>
        <n v="90.71"/>
        <n v="43.98"/>
        <n v="90.65"/>
        <n v="67.66"/>
        <n v="14.02"/>
        <n v="46.79"/>
        <n v="23.33"/>
        <n v="87.85"/>
        <n v="12.17"/>
        <n v="6.34"/>
        <n v="47.93"/>
        <n v="9.2"/>
        <n v="87.92"/>
        <n v="41.33"/>
        <n v="12.2"/>
        <n v="12.12"/>
        <n v="18.15"/>
        <n v="7.25"/>
        <n v="8.28"/>
        <n v="19.88"/>
        <n v="12.14"/>
        <n v="20.11"/>
        <n v="43.94"/>
        <n v="43.16"/>
        <n v="43.96"/>
        <n v="43.93"/>
        <n v="162.83"/>
        <n v="19.83"/>
        <n v="130.2"/>
        <n v="14.5"/>
        <n v="43.97"/>
        <n v="103.3"/>
        <n v="16.17"/>
        <n v="66.5"/>
        <n v="41.36"/>
        <n v="15.34"/>
        <n v="29.87"/>
        <n v="47.96"/>
        <n v="6.15"/>
        <n v="229.0"/>
        <n v="9.88"/>
        <n v="6.18"/>
        <n v="71.35"/>
        <n v="34.4"/>
        <n v="8.25"/>
        <n v="109.57"/>
        <n v="69.28"/>
        <n v="7.27"/>
        <n v="17.41"/>
        <n v="51.15"/>
        <n v="61.49"/>
        <n v="61.45"/>
        <n v="51.09"/>
        <n v="14.7"/>
        <n v="103.45"/>
        <n v="228.25"/>
        <n v="24.1"/>
        <n v="10.11"/>
        <n v="14.56"/>
        <n v="7.93"/>
        <n v="13.55"/>
        <n v="16.78"/>
        <n v="27.92"/>
        <n v="68.25"/>
        <n v="42.97"/>
        <n v="38.32"/>
        <n v="64.75"/>
        <n v="45.47"/>
        <n v="33.06"/>
        <n v="19.53"/>
        <n v="36.91"/>
        <n v="38.0"/>
        <n v="102.67"/>
        <n v="17.71"/>
        <n v="317.75"/>
        <n v="329.85"/>
        <n v="43.84"/>
        <n v="109.19"/>
        <n v="179.87"/>
        <n v="68.24"/>
        <n v="324.21"/>
        <n v="14.6"/>
        <n v="22.65"/>
        <n v="68.83"/>
        <n v="29.82"/>
        <n v="9.82"/>
        <n v="58.79"/>
        <n v="41.3"/>
        <n v="17.14"/>
        <n v="37.78"/>
        <n v="68.81"/>
        <n v="9.81"/>
        <n v="13.98"/>
        <n v="15.48"/>
        <n v="12.06"/>
        <n v="43.86"/>
        <n v="62.15"/>
        <n v="21.67"/>
        <n v="43.85"/>
        <n v="9.85"/>
        <n v="36.05"/>
        <n v="38.66"/>
        <n v="18.75"/>
        <n v="130.34"/>
        <n v="25.21"/>
        <n v="53.53"/>
        <n v="7.19"/>
        <n v="43.39"/>
        <n v="21.58"/>
        <n v="14.88"/>
        <n v="904.0"/>
        <n v="7.85"/>
        <n v="34.71"/>
        <n v="17.37"/>
        <n v="5.23"/>
        <n v="27.94"/>
        <n v="58.69"/>
        <n v="130.36"/>
        <n v="13.35"/>
        <n v="52.01"/>
        <n v="36.84"/>
        <n v="30.69"/>
        <n v="27.56"/>
        <n v="88.57"/>
        <n v="68.55"/>
        <n v="156.0"/>
        <n v="28.08"/>
        <n v="5.15"/>
        <n v="79.7"/>
        <n v="144.0"/>
        <n v="88.55"/>
        <n v="9.6"/>
        <n v="41.88"/>
        <n v="41.8"/>
        <n v="128.17"/>
        <n v="19.43"/>
        <n v="11.91"/>
        <n v="10.43"/>
        <n v="13.96"/>
        <n v="43.8"/>
        <n v="23.61"/>
        <n v="29.91"/>
        <n v="8.14"/>
        <n v="21.63"/>
        <n v="27.52"/>
        <n v="87.57"/>
        <n v="43.45"/>
        <n v="156.25"/>
        <n v="130.27"/>
        <n v="33.42"/>
        <n v="8.33"/>
        <n v="22.9"/>
        <n v="48.99"/>
        <n v="30.67"/>
        <n v="20.34"/>
        <n v="10.26"/>
        <n v="16.88"/>
        <n v="58.87"/>
        <n v="81.45"/>
        <n v="178.71"/>
        <n v="16.86"/>
        <n v="21.5"/>
        <n v="17.26"/>
        <n v="13.33"/>
        <n v="155.75"/>
        <n v="9.77"/>
        <n v="19.13"/>
        <n v="21.13"/>
        <n v="53.62"/>
        <n v="9.75"/>
        <n v="36.0"/>
        <n v="62.14"/>
        <n v="42.3"/>
        <n v="59.08"/>
        <n v="24.44"/>
        <n v="15.7"/>
        <n v="12.31"/>
        <n v="7.55"/>
        <n v="58.86"/>
        <n v="130.32"/>
        <n v="14.85"/>
        <n v="102.01"/>
        <n v="11.95"/>
        <n v="43.71"/>
        <n v="22.47"/>
        <n v="13.92"/>
        <n v="109.05"/>
        <n v="43.75"/>
        <n v="45.1"/>
        <n v="288.42"/>
        <n v="21.81"/>
        <n v="9.35"/>
        <n v="22.92"/>
        <n v="22.0"/>
        <n v="157.5"/>
        <n v="20.0"/>
        <n v="21.79"/>
        <n v="9.15"/>
        <n v="328.82"/>
        <n v="17.0"/>
        <n v="5.97"/>
        <n v="13.25"/>
        <n v="12.9"/>
        <n v="203.49"/>
        <n v="151.45"/>
        <n v="70.45"/>
        <n v="88.5"/>
        <n v="38.05"/>
        <n v="177.17"/>
        <n v="216.11"/>
        <n v="118.81"/>
        <n v="29.5"/>
        <n v="151.49"/>
        <n v="174.08"/>
        <n v="9.08"/>
        <n v="48.11"/>
        <n v="99.31"/>
        <n v="106.44"/>
        <n v="145.45"/>
        <n v="57.19"/>
        <n v="328.7"/>
        <n v="107.98"/>
        <n v="194.16"/>
        <n v="76.8"/>
        <n v="42.83"/>
        <n v="226.1"/>
        <n v="363.43"/>
        <n v="36.79"/>
        <n v="23.53"/>
        <n v="164.92"/>
        <n v="5.98"/>
        <n v="43.74"/>
        <n v="9.14"/>
        <n v="14.77"/>
        <n v="43.55"/>
        <n v="53.55"/>
        <n v="48.49"/>
        <n v="19.25"/>
        <n v="67.99"/>
        <n v="5.96"/>
        <n v="11.9"/>
        <n v="61.86"/>
        <n v="17.21"/>
        <n v="41.01"/>
        <n v="12.3"/>
        <n v="21.57"/>
        <n v="104.07"/>
        <n v="14.42"/>
        <n v="34.86"/>
        <n v="7.17"/>
        <n v="17.15"/>
        <n v="68.0"/>
        <m/>
      </sharedItems>
    </cacheField>
    <cacheField name="Notional - $" numFmtId="170">
      <sharedItems containsString="0" containsBlank="1" containsNumber="1">
        <n v="1633500.0"/>
        <n v="8.27816834334E7"/>
        <n v="4.6659981E7"/>
        <n v="1292500.0"/>
        <n v="1.41521458E8"/>
        <n v="2.1086E7"/>
        <n v="7679800.0"/>
        <n v="2999766.0"/>
        <n v="1.845E7"/>
        <n v="9225000.0"/>
        <n v="1.292E7"/>
        <n v="2.345549656E7"/>
        <n v="1289000.0"/>
        <n v="2920090.0"/>
        <n v="1.99533075E7"/>
        <n v="2692500.0"/>
        <n v="1.2926103E7"/>
        <n v="6916418.85"/>
        <n v="2303000.0"/>
        <n v="7.5328011E7"/>
        <n v="2.5375062E7"/>
        <n v="9009900.18"/>
        <n v="9192500.0"/>
        <n v="3.86892E7"/>
        <n v="1.7289792E7"/>
        <n v="6.04725E7"/>
        <n v="2.545999225E7"/>
        <n v="2139584.5"/>
        <n v="5.8496E7"/>
        <n v="3200000.0"/>
        <n v="3077760.0"/>
        <n v="3632390.0"/>
        <n v="1264770.0"/>
        <n v="2987201.66"/>
        <n v="9107744.62"/>
        <n v="3201120.0"/>
        <n v="6262508.0"/>
        <n v="2946000.0"/>
        <n v="1.345E7"/>
        <n v="5969250.0"/>
        <n v="2.342249148E7"/>
        <n v="1.062476016E7"/>
        <n v="4.354515E7"/>
        <n v="8.324125E7"/>
        <n v="2.27889351E7"/>
        <n v="4.395E7"/>
        <n v="3519154.1"/>
        <n v="8935402.8"/>
        <n v="1.48181413028E7"/>
        <n v="5691000.0"/>
        <n v="5583000.0"/>
        <n v="1.499128E7"/>
        <n v="6.357419E7"/>
        <n v="4038000.0"/>
        <n v="1.9773E7"/>
        <n v="3.963148E7"/>
        <n v="5195250.0"/>
        <n v="6456450.0"/>
        <n v="6680000.0"/>
        <n v="1.71585E7"/>
        <n v="1.7814675E7"/>
        <n v="4.1528030076E7"/>
        <n v="7414075.2"/>
        <n v="3049562.0"/>
        <n v="2094035.0"/>
        <n v="1.8177E7"/>
        <n v="7358316.0"/>
        <n v="2010000.0"/>
        <n v="1005000.0"/>
        <n v="2233350.0"/>
        <n v="1340199.935"/>
        <n v="3.24578086E7"/>
        <n v="2.38240128E7"/>
        <n v="3253845.0"/>
        <n v="4.71320368E7"/>
        <n v="3057500.0"/>
        <n v="1.0548228E7"/>
        <n v="5.67779685E7"/>
        <n v="3451230.0"/>
        <n v="1.2290992E7"/>
        <n v="1294000.0"/>
        <n v="6187658.75"/>
        <n v="1293335.16"/>
        <n v="3956911.6"/>
        <n v="9604951.44"/>
        <n v="1.14166E7"/>
        <n v="1716857.0"/>
        <n v="3864650.0"/>
        <n v="5788023.3"/>
        <n v="3318000.0"/>
        <n v="1.7381449743E7"/>
        <n v="2132250.0"/>
        <n v="3325000.0"/>
        <n v="1505439.6"/>
        <n v="2992409.6"/>
        <n v="1.0977575E7"/>
        <n v="1.66836837E7"/>
        <n v="3832762.5"/>
        <n v="4.263172801E7"/>
        <n v="9761970.0"/>
        <n v="1.952394E7"/>
        <n v="3.305E7"/>
        <n v="4598100.0"/>
        <n v="5204160.0"/>
        <n v="8.304875E7"/>
        <n v="1.08214617E8"/>
        <n v="9.1122E7"/>
        <n v="2651157.6"/>
        <n v="1.374303375E7"/>
        <n v="2383910.5"/>
        <n v="7609880.0"/>
        <n v="5609250.0"/>
        <n v="4787500.0"/>
        <n v="1.2315849E7"/>
        <n v="3915193.0"/>
        <n v="1.12425E7"/>
        <n v="1.317625E7"/>
        <n v="2995000.0"/>
        <n v="3743750.0"/>
        <n v="7261377.5"/>
        <n v="1.12453432E7"/>
        <n v="8483278.8"/>
        <n v="3.244725E7"/>
        <n v="1.16922E7"/>
        <n v="2820141.24"/>
        <n v="2226388.31"/>
        <n v="3533135.5"/>
        <n v="2.113801254E7"/>
        <n v="6692500.0"/>
        <n v="8703500.0"/>
        <n v="1.54304E7"/>
        <n v="1.754289576E7"/>
        <n v="1.66253565E7"/>
        <n v="3286000.0"/>
        <n v="7195575.0"/>
        <n v="2.0877E7"/>
        <n v="2.74454532E7"/>
        <n v="6050800.0"/>
        <n v="9.91887100478E7"/>
        <n v="1423124.25"/>
        <n v="1.6781375E7"/>
        <n v="1.67E7"/>
        <n v="1663000.0"/>
        <n v="1.1641E7"/>
        <n v="2136750.0"/>
        <n v="4300000.0"/>
        <n v="3.25525E7"/>
        <n v="3750792.0"/>
        <n v="7492500.0"/>
        <n v="2724591.5"/>
        <n v="1584550.0"/>
        <n v="3201434.7"/>
        <n v="5173740.0"/>
        <n v="3.9051E7"/>
        <n v="4592000.0"/>
        <n v="9.960999E7"/>
        <n v="1.875E7"/>
        <n v="2844792.5"/>
        <n v="7701850.0"/>
        <n v="2.5561362456E8"/>
        <n v="1309804.2"/>
        <n v="2526000.0"/>
        <n v="2580000.0"/>
        <n v="1.7496428E7"/>
        <n v="4.3957497363E8"/>
        <n v="2.565281223E7"/>
        <n v="8287500.0"/>
        <n v="2351250.0"/>
        <n v="9040000.0"/>
        <n v="3180000.0"/>
        <n v="1.3334E7"/>
        <n v="2535000.0"/>
        <n v="4.933987044E7"/>
        <n v="1.8056038E7"/>
        <n v="3900616.0"/>
        <n v="5.4014E7"/>
        <n v="6.7470684E7"/>
        <n v="8810389.7"/>
        <n v="1.40076775E7"/>
        <n v="4248076.95"/>
        <n v="3003000.0"/>
        <n v="1.8E7"/>
        <n v="8847967.5"/>
        <n v="2.16542475E7"/>
        <n v="8.4393984E7"/>
        <n v="8352370.0"/>
        <n v="3429650.0"/>
        <n v="8764000.0"/>
        <n v="8.4384E7"/>
        <n v="2238807.35"/>
        <n v="2.714745E7"/>
        <n v="4209000.0"/>
        <n v="7720882.0"/>
        <n v="3378000.0"/>
        <n v="4008546.0"/>
        <n v="6133318.0"/>
        <n v="4382000.0"/>
        <n v="5500000.0"/>
        <n v="6841221.4"/>
        <n v="4950905.7"/>
        <n v="3577500.0"/>
        <n v="5840852.985"/>
        <n v="1423500.0"/>
        <n v="3.88452195E7"/>
        <n v="3596250.0"/>
        <n v="3246026.69"/>
        <n v="1686000.0"/>
        <n v="2.63925E7"/>
        <n v="3.002022E7"/>
        <n v="9434750.0"/>
        <n v="7186250.0"/>
        <n v="5452000.0"/>
        <n v="3231083.52"/>
        <n v="1.014113792E7"/>
        <n v="2.6449995E7"/>
        <n v="1.0342009188E7"/>
        <n v="8137214.28"/>
        <n v="6481521.405"/>
        <n v="9942000.0"/>
        <n v="1.296304281E7"/>
        <n v="1.96702954E7"/>
        <n v="9412500.0"/>
        <n v="2.79200592E7"/>
        <n v="2.1821936E7"/>
        <n v="6816285.0"/>
        <n v="8858353.1022"/>
        <n v="1.59353382825E7"/>
        <n v="3.250714194E7"/>
        <n v="5.382515475E7"/>
        <n v="5.69822688E7"/>
        <n v="9598265.0"/>
        <n v="9078000.0"/>
        <n v="1311107.5"/>
        <n v="4200000.0"/>
        <n v="2.616416802E7"/>
        <n v="5480073.86"/>
        <n v="1.06216464E7"/>
        <n v="1.135772E7"/>
        <n v="4340253.0"/>
        <n v="3732000.0"/>
        <n v="1965000.0"/>
        <n v="1310000.0"/>
        <n v="1.48018343E7"/>
        <n v="1.19973E7"/>
        <n v="1498400.0"/>
        <n v="4784620.0"/>
        <n v="2.28675E7"/>
        <n v="1745220.0"/>
        <n v="1.4392096E7"/>
        <n v="4762500.0"/>
        <n v="1.552335481755E8"/>
        <n v="2473000.0"/>
        <n v="3.496123858E7"/>
        <n v="1.7860799E7"/>
        <n v="2.37492E7"/>
        <n v="1.78480005E7"/>
        <n v="1.03983210998E7"/>
        <n v="7010000.0"/>
        <n v="2.3292062E7"/>
        <n v="1.1665E7"/>
        <n v="1.757E8"/>
        <n v="1825500.0"/>
        <n v="1721703.08"/>
        <n v="8401252.5"/>
        <n v="3307400.0"/>
        <n v="8.474529672E7"/>
        <n v="8.55742944E7"/>
        <n v="1.239933E7"/>
        <n v="3088125.0"/>
        <n v="3417500.0"/>
        <n v="2609240.0"/>
        <n v="1.99296E7"/>
        <n v="1818000.0"/>
        <n v="5898750.0"/>
        <n v="1109793.7166"/>
        <n v="1993819.875"/>
        <n v="2.7160672E7"/>
        <n v="9396401.28"/>
        <n v="1821000.0"/>
        <n v="8988144.39"/>
        <n v="3.49323E7"/>
        <n v="1.074243768E7"/>
        <n v="3.4946292E7"/>
        <n v="1.5959474669E8"/>
        <n v="4.80349975E7"/>
        <n v="3767700.0"/>
        <n v="3.95685E7"/>
        <n v="7.243026E7"/>
        <n v="7612500.0"/>
        <n v="2099500.0"/>
        <n v="1.1431992E7"/>
        <n v="4.09249808E7"/>
        <n v="3203196.15"/>
        <n v="3440000.0"/>
        <n v="2.5313092E7"/>
        <n v="1.8214944E7"/>
        <n v="2782489.745"/>
        <n v="7881796.9"/>
        <n v="1.67986365E7"/>
        <n v="1181683.5"/>
        <n v="1160000.0"/>
        <n v="1.00161165E8"/>
        <n v="2655832.92"/>
        <n v="2405780.0"/>
        <n v="1.55530157E7"/>
        <n v="5.05655E7"/>
        <n v="1.8244212E7"/>
        <n v="1.133775E7"/>
        <n v="2062500.0"/>
        <n v="6.92224156E7"/>
        <n v="6.46463E7"/>
        <n v="6741462.4"/>
        <n v="2.7712E7"/>
        <n v="1112716.7233"/>
        <n v="2845717.5"/>
        <n v="1.99485E7"/>
        <n v="1.2297E7"/>
        <n v="6.5742E7"/>
        <n v="1.234331738E7"/>
        <n v="4.3907897151E7"/>
        <n v="2504174.4"/>
        <n v="5.133137275E7"/>
        <n v="9.35825E7"/>
        <n v="8759868.0"/>
        <n v="1.66815E7"/>
        <n v="4368000.0"/>
        <n v="7205757.0"/>
        <n v="1189500.0"/>
        <n v="2710000.0"/>
        <n v="3356000.0"/>
        <n v="4.98372E7"/>
        <n v="2.10407925E7"/>
        <n v="6604489.0"/>
        <n v="6706000.0"/>
        <n v="1.647499E7"/>
        <n v="1.40036204E7"/>
        <n v="4993878.3"/>
        <n v="8788500.0"/>
        <n v="7381000.0"/>
        <n v="9580000.0"/>
        <n v="9351800.0"/>
        <n v="4.51748E7"/>
        <n v="2678766.5"/>
        <n v="6.355E7"/>
        <n v="9.2358E7"/>
        <n v="2.49888E7"/>
        <n v="3.2374835E7"/>
        <n v="5.3961E7"/>
        <n v="1.826109224E7"/>
        <n v="8.15499191628E7"/>
        <n v="3650000.0"/>
        <n v="1.630998383256E8"/>
        <n v="9988650.0"/>
        <n v="1.85841E7"/>
        <n v="5535277.86"/>
        <n v="1473000.0"/>
        <n v="1.825035607E7"/>
        <n v="1.1975695E7"/>
        <n v="2571000.0"/>
        <n v="7397021.76"/>
        <n v="1.8578106E7"/>
        <n v="1470750.0"/>
        <n v="5019910.44"/>
        <n v="2321250.0"/>
        <n v="1808250.0"/>
        <n v="1.0965E7"/>
        <n v="2.318195E7"/>
        <n v="6067600.0"/>
        <n v="1.36817304E7"/>
        <n v="2462500.0"/>
        <n v="1.5368E7"/>
        <n v="5407500.0"/>
        <n v="6537406.0"/>
        <n v="2992218.75"/>
        <n v="4.917441452E7"/>
        <n v="7328198.16"/>
        <n v="1.1775896E7"/>
        <n v="1438000.0"/>
        <n v="7723420.0"/>
        <n v="9164680.72"/>
        <n v="3720000.0"/>
        <n v="1.4916E8"/>
        <n v="1570000.0"/>
        <n v="5553888.0"/>
        <n v="2536500.0"/>
        <n v="4099493.7"/>
        <n v="1700759.39"/>
        <n v="1.347948536E7"/>
        <n v="1.82180089514E7"/>
        <n v="3.9108E7"/>
        <n v="2610282.0"/>
        <n v="7801290.0"/>
        <n v="1.04380727199E7"/>
        <n v="1.31967E7"/>
        <n v="6888750.0"/>
        <n v="1.3613209E7"/>
        <n v="7.09033215E7"/>
        <n v="9.2027676E7"/>
        <n v="1.76962968E7"/>
        <n v="1476505.0"/>
        <n v="3.72996E7"/>
        <n v="4.8384E7"/>
        <n v="7210000.0"/>
        <n v="1.71602816E7"/>
        <n v="4604895.0"/>
        <n v="4800000.0"/>
        <n v="4.188E7"/>
        <n v="6270000.0"/>
        <n v="5.8330167E7"/>
        <n v="3611268.45"/>
        <n v="5320335.45"/>
        <n v="4676801.0"/>
        <n v="2055523.08"/>
        <n v="4172000.0"/>
        <n v="2791000.0"/>
        <n v="6920400.0"/>
        <n v="5950902.976"/>
        <n v="8013457.29"/>
        <n v="1.151339508E7"/>
        <n v="3243750.0"/>
        <n v="1.6368896E7"/>
        <n v="2.18925E7"/>
        <n v="1.59977686E7"/>
        <n v="4.6071226308E7"/>
        <n v="2.49740617E8"/>
        <n v="9964072.74"/>
        <n v="2142232.9746"/>
        <n v="2.6271E7"/>
        <n v="3955793.754"/>
        <n v="1.200279495E7"/>
        <n v="1.1006E7"/>
        <n v="1.59484E7"/>
        <n v="2.518139305432E8"/>
        <n v="3737678.4"/>
        <n v="1617623.7"/>
        <n v="2718562.5"/>
        <n v="1.1980045E7"/>
        <n v="2.4435E7"/>
        <n v="2.680575E7"/>
        <n v="4130700.0"/>
        <n v="4909783.0"/>
        <n v="8331402.0"/>
        <n v="3771057.0"/>
        <n v="3.89375E7"/>
        <n v="2442500.0"/>
        <n v="9172350.0"/>
        <n v="2517000.0"/>
        <n v="1.9526233E7"/>
        <n v="4.07512E7"/>
        <n v="1462500.0"/>
        <n v="5400000.0"/>
        <n v="1.22095275E7"/>
        <n v="1950000.0"/>
        <n v="1.14633E7"/>
        <n v="1.477E7"/>
        <n v="9065385.0"/>
        <n v="8938010.0"/>
        <n v="1.3981398E7"/>
        <n v="2.2340188E7"/>
        <n v="1245750.0"/>
        <n v="1.1772E7"/>
        <n v="1.0150256E7"/>
        <n v="7.2470952E7"/>
        <n v="7425000.0"/>
        <n v="4.48844E7"/>
        <n v="3165901.55"/>
        <n v="1.583334E7"/>
        <n v="2.500212E7"/>
        <n v="8.39296554141E7"/>
        <n v="4494000.0"/>
        <n v="3480000.0"/>
        <n v="2.748594345E7"/>
        <n v="2.29690125E7"/>
        <n v="4.6002E7"/>
        <n v="9.1659876E7"/>
        <n v="4361000.0"/>
        <n v="1683000.0"/>
        <n v="4561080.0"/>
        <n v="3687596.0"/>
        <n v="4.289607E7"/>
        <n v="3955802.2"/>
        <n v="5447500.0"/>
        <n v="3938285.105"/>
        <n v="9.79176637E7"/>
        <n v="2834784.0"/>
        <n v="1791000.0"/>
        <n v="4768200.0"/>
        <n v="6450000.0"/>
        <n v="4326000.0"/>
        <n v="4.698339912E7"/>
        <n v="4.659222945E7"/>
        <n v="1.856223645E7"/>
        <n v="2.8542843E7"/>
        <n v="8.613275765E7"/>
        <n v="3.870934179E8"/>
        <n v="3.614288473E7"/>
        <n v="1.2909264907E8"/>
        <n v="1.0000382E7"/>
        <n v="7.842197979E7"/>
        <n v="6.312941568E7"/>
        <n v="4597676.16"/>
        <n v="2.525832732E7"/>
        <n v="1.64348119E7"/>
        <n v="1.6428790476E8"/>
        <n v="1.0129734345E8"/>
        <n v="1.5984605E7"/>
        <n v="1.84072E8"/>
        <n v="3.098118968E7"/>
        <n v="3.524139912E7"/>
        <n v="2.17007616E7"/>
        <n v="1.083971621E7"/>
        <n v="1.215751005E8"/>
        <n v="9.985493651E7"/>
        <n v="1.12628555292E7"/>
        <n v="1.1765E7"/>
        <n v="5.936691208E7"/>
        <n v="2987500.0"/>
        <n v="1.92456E7"/>
        <n v="1676276.0"/>
        <n v="5959960.86"/>
        <n v="8600000.0"/>
        <n v="7328536.41"/>
        <n v="4.01625E7"/>
        <n v="7.65972285E7"/>
        <n v="3.9991875E7"/>
        <n v="1.3176462E7"/>
        <n v="2391545.36"/>
        <n v="1845690.0"/>
        <n v="1.8607488E7"/>
        <n v="3442000.0"/>
        <n v="5.401017E7"/>
        <n v="2343445.2"/>
        <n v="4314000.0"/>
        <n v="2.601625E7"/>
        <n v="3192588.0"/>
        <n v="5228250.0"/>
        <n v="2.941135E7"/>
        <n v="3605000.0"/>
        <n v="4287500.0"/>
        <n v="2.72E7"/>
        <n v="4244527.36"/>
        <m/>
      </sharedItems>
    </cacheField>
    <cacheField name="Large Trade" numFmtId="0">
      <sharedItems containsBlank="1">
        <m/>
        <b v="1"/>
      </sharedItems>
    </cacheField>
    <cacheField name="Order Type" numFmtId="0">
      <sharedItems containsBlank="1">
        <s v="Darkpool Order"/>
        <s v="Public Exchange Order"/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Snapshot" cacheId="0" dataCaption="" rowGrandTotals="0" colGrandTotals="0" compact="0" compactData="0">
  <location ref="A1:B146" firstHeaderRow="0" firstDataRow="1" firstDataCol="1"/>
  <pivotFields>
    <pivotField name="Date" compact="0" numFmtId="165" outline="0" multipleItemSelectionAllowed="1" showAll="0">
      <items>
        <item x="0"/>
        <item t="default"/>
      </items>
    </pivotField>
    <pivotField name="Time - PST" compact="0" numFmtId="166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t="default"/>
      </items>
    </pivotField>
    <pivotField name="Ticker" axis="axisRow" compact="0" outline="0" multipleItemSelectionAllowed="1" showAll="0" sortType="de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t="default"/>
      </items>
      <autoSortScope>
        <pivotArea>
          <references>
            <reference field="4294967294">
              <x v="0"/>
            </reference>
            <reference field="5">
              <x v="0"/>
            </reference>
          </references>
        </pivotArea>
      </autoSortScope>
    </pivotField>
    <pivotField name="Expiry" compact="0" numFmtId="167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name="Strik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t="default"/>
      </items>
    </pivotField>
    <pivotField name="Call/Put" axis="axisCol" compact="0" outline="0" multipleItemSelectionAllowed="1" showAll="0" sortType="ascending">
      <items>
        <item x="1"/>
        <item h="1" x="0"/>
        <item t="default"/>
      </items>
    </pivotField>
    <pivotField name="Spot Pric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t="default"/>
      </items>
    </pivotField>
    <pivotField name="Quantit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t="default"/>
      </items>
    </pivotField>
    <pivotField name="Pric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  <pivotField name="Order Type" compact="0" outline="0" multipleItemSelectionAllowed="1" showAll="0">
      <items>
        <item x="0"/>
        <item x="1"/>
        <item x="2"/>
        <item t="default"/>
      </items>
    </pivotField>
    <pivotField name="Volu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t="default"/>
      </items>
    </pivotField>
    <pivotField name="Open In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t="default"/>
      </items>
    </pivotField>
    <pivotField name="Premium Paid" dataField="1" compact="0" numFmtId="164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t="default"/>
      </items>
    </pivotField>
    <pivotField name="Mark" compact="0" outline="0" multipleItemSelectionAllowed="1" showAll="0">
      <items>
        <item x="0"/>
        <item x="1"/>
        <item t="default"/>
      </items>
    </pivotField>
    <pivotField name="Algo Scor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t="default"/>
      </items>
    </pivotField>
    <pivotField name="Sector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Unusual" compact="0" outline="0" multipleItemSelectionAllowed="1" showAll="0">
      <items>
        <item x="0"/>
        <item x="1"/>
        <item t="default"/>
      </items>
    </pivotField>
    <pivotField name="Sentiment" compact="0" outline="0" multipleItemSelectionAllowed="1" showAll="0">
      <items>
        <item x="0"/>
        <item x="1"/>
        <item t="default"/>
      </items>
    </pivotField>
    <pivotField name="Golden Sweep" compact="0" outline="0" multipleItemSelectionAllowed="1" showAll="0">
      <items>
        <item x="0"/>
        <item x="1"/>
        <item t="default"/>
      </items>
    </pivotField>
    <pivotField name="Marker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</pivotFields>
  <rowFields>
    <field x="2"/>
  </rowFields>
  <colFields>
    <field x="5"/>
  </colFields>
  <dataFields>
    <dataField name="SUM of Premium Paid" fld="12" baseField="0"/>
  </dataFields>
  <pivotTableStyleInfo name="Google Sheets Pivot Table Style" showRowHeaders="1" showColHeaders="1" showLastColumn="1"/>
</pivotTableDefinition>
</file>

<file path=xl/pivotTables/pivotTable2.xml><?xml version="1.0" encoding="utf-8"?>
<pivotTableDefinition xmlns="http://schemas.openxmlformats.org/spreadsheetml/2006/main" name="Snapshot 2" cacheId="0" dataCaption="" rowGrandTotals="0" colGrandTotals="0" compact="0" compactData="0">
  <location ref="H1:I82" firstHeaderRow="0" firstDataRow="1" firstDataCol="1"/>
  <pivotFields>
    <pivotField name="Date" compact="0" numFmtId="165" outline="0" multipleItemSelectionAllowed="1" showAll="0">
      <items>
        <item x="0"/>
        <item t="default"/>
      </items>
    </pivotField>
    <pivotField name="Time - PST" compact="0" numFmtId="166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t="default"/>
      </items>
    </pivotField>
    <pivotField name="Ticker" axis="axisRow" compact="0" outline="0" multipleItemSelectionAllowed="1" showAll="0" sortType="de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t="default"/>
      </items>
      <autoSortScope>
        <pivotArea>
          <references>
            <reference field="4294967294">
              <x v="0"/>
            </reference>
            <reference field="5">
              <x v="1"/>
            </reference>
          </references>
        </pivotArea>
      </autoSortScope>
    </pivotField>
    <pivotField name="Expiry" compact="0" numFmtId="167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name="Strik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t="default"/>
      </items>
    </pivotField>
    <pivotField name="Call/Put" axis="axisCol" compact="0" outline="0" multipleItemSelectionAllowed="1" showAll="0" sortType="ascending">
      <items>
        <item h="1" x="1"/>
        <item x="0"/>
        <item t="default"/>
      </items>
    </pivotField>
    <pivotField name="Spot Pric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t="default"/>
      </items>
    </pivotField>
    <pivotField name="Quantit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t="default"/>
      </items>
    </pivotField>
    <pivotField name="Pric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t="default"/>
      </items>
    </pivotField>
    <pivotField name="Order Type" compact="0" outline="0" multipleItemSelectionAllowed="1" showAll="0">
      <items>
        <item x="0"/>
        <item x="1"/>
        <item x="2"/>
        <item t="default"/>
      </items>
    </pivotField>
    <pivotField name="Volu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t="default"/>
      </items>
    </pivotField>
    <pivotField name="Open In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t="default"/>
      </items>
    </pivotField>
    <pivotField name="Premium Paid" dataField="1" compact="0" numFmtId="164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t="default"/>
      </items>
    </pivotField>
    <pivotField name="Mark" compact="0" outline="0" multipleItemSelectionAllowed="1" showAll="0">
      <items>
        <item x="0"/>
        <item x="1"/>
        <item t="default"/>
      </items>
    </pivotField>
    <pivotField name="Algo Scor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t="default"/>
      </items>
    </pivotField>
    <pivotField name="Sector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Unusual" compact="0" outline="0" multipleItemSelectionAllowed="1" showAll="0">
      <items>
        <item x="0"/>
        <item x="1"/>
        <item t="default"/>
      </items>
    </pivotField>
    <pivotField name="Sentiment" compact="0" outline="0" multipleItemSelectionAllowed="1" showAll="0">
      <items>
        <item x="0"/>
        <item x="1"/>
        <item t="default"/>
      </items>
    </pivotField>
    <pivotField name="Golden Sweep" compact="0" outline="0" multipleItemSelectionAllowed="1" showAll="0">
      <items>
        <item x="0"/>
        <item x="1"/>
        <item t="default"/>
      </items>
    </pivotField>
    <pivotField name="Marker" compact="0" outline="0" multipleItemSelectionAllowed="1" showAll="0">
      <items>
        <item x="0"/>
        <item x="1"/>
        <item x="2"/>
        <item x="3"/>
        <item x="4"/>
        <item x="5"/>
        <item t="default"/>
      </items>
    </pivotField>
  </pivotFields>
  <rowFields>
    <field x="2"/>
  </rowFields>
  <colFields>
    <field x="5"/>
  </colFields>
  <dataFields>
    <dataField name="SUM of Premium Paid" fld="12" baseField="0"/>
  </dataFields>
</pivotTableDefinition>
</file>

<file path=xl/pivotTables/pivotTable3.xml><?xml version="1.0" encoding="utf-8"?>
<pivotTableDefinition xmlns="http://schemas.openxmlformats.org/spreadsheetml/2006/main" name="Snapshot 3" cacheId="1" dataCaption="" rowGrandTotals="0" compact="0" compactData="0">
  <location ref="O3:P263" firstHeaderRow="0" firstDataRow="1" firstDataCol="0" rowPageCount="1" colPageCount="1"/>
  <pivotFields>
    <pivotField name="Ticker" axis="axisRow" compact="0" outline="0" multipleItemSelectionAllowed="1" showAll="0" sortType="de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t="default"/>
      </items>
      <autoSortScope>
        <pivotArea>
          <references>
            <reference field="4294967294">
              <x v="0"/>
            </reference>
          </references>
        </pivotArea>
      </autoSortScope>
    </pivotField>
    <pivotField name="Share Quantit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t="default"/>
      </items>
    </pivotField>
    <pivotField name="Spot Price" compact="0" numFmtId="17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t="default"/>
      </items>
    </pivotField>
    <pivotField name="Notional - $" dataField="1" compact="0" numFmtId="17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t="default"/>
      </items>
    </pivotField>
    <pivotField name="Large Trade" compact="0" outline="0" multipleItemSelectionAllowed="1" showAll="0">
      <items>
        <item x="0"/>
        <item x="1"/>
        <item t="default"/>
      </items>
    </pivotField>
    <pivotField name="Order Type" axis="axisPage" compact="0" outline="0" multipleItemSelectionAllowed="1" showAll="0">
      <items>
        <item x="0"/>
        <item x="1"/>
        <item h="1" x="2"/>
        <item t="default"/>
      </items>
    </pivotField>
  </pivotFields>
  <rowFields>
    <field x="0"/>
  </rowFields>
  <pageFields>
    <pageField fld="5"/>
  </pageFields>
  <dataFields>
    <dataField name="SUM of Notional - $" fld="3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Relationship Id="rId3" Type="http://schemas.openxmlformats.org/officeDocument/2006/relationships/pivotTable" Target="../pivotTables/pivotTable3.xml"/><Relationship Id="rId4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14"/>
  </cols>
  <sheetData>
    <row r="1">
      <c r="A1" s="24" t="s">
        <v>0</v>
      </c>
      <c r="B1" s="5" t="s">
        <v>23</v>
      </c>
      <c r="C1" s="5" t="s">
        <v>24</v>
      </c>
      <c r="D1" s="5" t="s">
        <v>25</v>
      </c>
      <c r="E1" s="5" t="s">
        <v>26</v>
      </c>
      <c r="F1" s="5" t="s">
        <v>27</v>
      </c>
      <c r="G1" s="5" t="s">
        <v>28</v>
      </c>
      <c r="H1" s="5" t="s">
        <v>29</v>
      </c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25">
        <v>43866.0</v>
      </c>
      <c r="B2" s="5" t="s">
        <v>30</v>
      </c>
      <c r="C2" s="5">
        <v>88.0</v>
      </c>
      <c r="D2" s="5">
        <v>0.344</v>
      </c>
      <c r="E2" s="26">
        <v>124444.0</v>
      </c>
      <c r="F2" s="27">
        <v>0.26</v>
      </c>
      <c r="G2" s="26">
        <v>361896.0</v>
      </c>
      <c r="H2" s="27">
        <v>0.74</v>
      </c>
    </row>
    <row r="3">
      <c r="A3" s="25">
        <v>43866.0</v>
      </c>
      <c r="B3" s="5" t="s">
        <v>30</v>
      </c>
      <c r="C3" s="5">
        <v>87.0</v>
      </c>
      <c r="D3" s="5">
        <v>0.362</v>
      </c>
      <c r="E3" s="26">
        <v>148502.0</v>
      </c>
      <c r="F3" s="27">
        <v>0.27</v>
      </c>
      <c r="G3" s="26">
        <v>410443.0</v>
      </c>
      <c r="H3" s="27">
        <v>0.73</v>
      </c>
    </row>
    <row r="4">
      <c r="A4" s="25">
        <v>43866.0</v>
      </c>
      <c r="B4" s="5" t="s">
        <v>30</v>
      </c>
      <c r="C4" s="5">
        <v>87.0</v>
      </c>
      <c r="D4" s="5">
        <v>0.358</v>
      </c>
      <c r="E4" s="26">
        <v>150402.0</v>
      </c>
      <c r="F4" s="27">
        <v>0.26</v>
      </c>
      <c r="G4" s="26">
        <v>420629.0</v>
      </c>
      <c r="H4" s="27">
        <v>0.74</v>
      </c>
    </row>
    <row r="5">
      <c r="A5" s="25">
        <v>43866.0</v>
      </c>
      <c r="B5" s="5" t="s">
        <v>30</v>
      </c>
      <c r="C5" s="5">
        <v>87.0</v>
      </c>
      <c r="D5" s="5">
        <v>0.364</v>
      </c>
      <c r="E5" s="26">
        <v>154525.0</v>
      </c>
      <c r="F5" s="27">
        <v>0.27</v>
      </c>
      <c r="G5" s="26">
        <v>425089.0</v>
      </c>
      <c r="H5" s="27">
        <v>0.73</v>
      </c>
    </row>
    <row r="6">
      <c r="A6" s="25">
        <v>43866.0</v>
      </c>
      <c r="B6" s="5" t="s">
        <v>30</v>
      </c>
      <c r="C6" s="5">
        <v>87.0</v>
      </c>
      <c r="D6" s="5">
        <v>0.366</v>
      </c>
      <c r="E6" s="26">
        <v>157525.0</v>
      </c>
      <c r="F6" s="27">
        <v>0.27</v>
      </c>
      <c r="G6" s="26">
        <v>430684.0</v>
      </c>
      <c r="H6" s="27">
        <v>0.73</v>
      </c>
    </row>
    <row r="7">
      <c r="A7" s="25">
        <v>43866.0</v>
      </c>
      <c r="B7" s="5" t="s">
        <v>30</v>
      </c>
      <c r="C7" s="5">
        <v>87.0</v>
      </c>
      <c r="D7" s="5">
        <v>0.367</v>
      </c>
      <c r="E7" s="26">
        <v>158403.0</v>
      </c>
      <c r="F7" s="27">
        <v>0.27</v>
      </c>
      <c r="G7" s="26">
        <v>431937.0</v>
      </c>
      <c r="H7" s="27">
        <v>0.73</v>
      </c>
    </row>
    <row r="8">
      <c r="A8" s="25">
        <v>43866.0</v>
      </c>
      <c r="B8" s="5" t="s">
        <v>30</v>
      </c>
      <c r="C8" s="5">
        <v>86.0</v>
      </c>
      <c r="D8" s="5">
        <v>0.375</v>
      </c>
      <c r="E8" s="26">
        <v>162903.0</v>
      </c>
      <c r="F8" s="27">
        <v>0.27</v>
      </c>
      <c r="G8" s="26">
        <v>434554.0</v>
      </c>
      <c r="H8" s="27">
        <v>0.73</v>
      </c>
    </row>
    <row r="9">
      <c r="A9" s="25">
        <v>43866.0</v>
      </c>
      <c r="B9" s="5" t="s">
        <v>30</v>
      </c>
      <c r="C9" s="5">
        <v>86.0</v>
      </c>
      <c r="D9" s="5">
        <v>0.372</v>
      </c>
      <c r="E9" s="26">
        <v>163907.0</v>
      </c>
      <c r="F9" s="27">
        <v>0.27</v>
      </c>
      <c r="G9" s="26">
        <v>440131.0</v>
      </c>
      <c r="H9" s="27">
        <v>0.73</v>
      </c>
    </row>
    <row r="10">
      <c r="A10" s="25">
        <v>43866.0</v>
      </c>
      <c r="B10" s="5" t="s">
        <v>30</v>
      </c>
      <c r="C10" s="5">
        <v>86.0</v>
      </c>
      <c r="D10" s="5">
        <v>0.372</v>
      </c>
      <c r="E10" s="26">
        <v>164407.0</v>
      </c>
      <c r="F10" s="27">
        <v>0.27</v>
      </c>
      <c r="G10" s="26">
        <v>441728.0</v>
      </c>
      <c r="H10" s="27">
        <v>0.73</v>
      </c>
    </row>
    <row r="11">
      <c r="A11" s="25">
        <v>43866.0</v>
      </c>
      <c r="B11" s="5" t="s">
        <v>30</v>
      </c>
      <c r="C11" s="5">
        <v>86.0</v>
      </c>
      <c r="D11" s="5">
        <v>0.375</v>
      </c>
      <c r="E11" s="26">
        <v>166290.0</v>
      </c>
      <c r="F11" s="27">
        <v>0.27</v>
      </c>
      <c r="G11" s="26">
        <v>443668.0</v>
      </c>
      <c r="H11" s="27">
        <v>0.73</v>
      </c>
    </row>
    <row r="12">
      <c r="A12" s="25">
        <v>43866.0</v>
      </c>
      <c r="B12" s="5" t="s">
        <v>30</v>
      </c>
      <c r="C12" s="5">
        <v>86.0</v>
      </c>
      <c r="D12" s="5">
        <v>0.374</v>
      </c>
      <c r="E12" s="26">
        <v>166290.0</v>
      </c>
      <c r="F12" s="27">
        <v>0.27</v>
      </c>
      <c r="G12" s="26">
        <v>444668.0</v>
      </c>
      <c r="H12" s="27">
        <v>0.73</v>
      </c>
    </row>
    <row r="13">
      <c r="A13" s="25">
        <v>43866.0</v>
      </c>
      <c r="B13" s="5" t="s">
        <v>30</v>
      </c>
      <c r="C13" s="5">
        <v>86.0</v>
      </c>
      <c r="D13" s="5">
        <v>0.375</v>
      </c>
      <c r="E13" s="26">
        <v>168625.0</v>
      </c>
      <c r="F13" s="27">
        <v>0.27</v>
      </c>
      <c r="G13" s="26">
        <v>449194.0</v>
      </c>
      <c r="H13" s="27">
        <v>0.73</v>
      </c>
    </row>
    <row r="14">
      <c r="A14" s="25">
        <v>43866.0</v>
      </c>
      <c r="B14" s="5" t="s">
        <v>30</v>
      </c>
      <c r="C14" s="5">
        <v>85.0</v>
      </c>
      <c r="D14" s="5">
        <v>0.392</v>
      </c>
      <c r="E14" s="26">
        <v>176088.0</v>
      </c>
      <c r="F14" s="27">
        <v>0.28</v>
      </c>
      <c r="G14" s="26">
        <v>449194.0</v>
      </c>
      <c r="H14" s="27">
        <v>0.72</v>
      </c>
    </row>
    <row r="15">
      <c r="A15" s="25">
        <v>43866.0</v>
      </c>
      <c r="B15" s="5" t="s">
        <v>30</v>
      </c>
      <c r="C15" s="5">
        <v>85.0</v>
      </c>
      <c r="D15" s="5">
        <v>0.39</v>
      </c>
      <c r="E15" s="26">
        <v>178087.0</v>
      </c>
      <c r="F15" s="27">
        <v>0.28</v>
      </c>
      <c r="G15" s="26">
        <v>456297.0</v>
      </c>
      <c r="H15" s="27">
        <v>0.72</v>
      </c>
    </row>
    <row r="16">
      <c r="A16" s="25">
        <v>43866.0</v>
      </c>
      <c r="B16" s="5" t="s">
        <v>30</v>
      </c>
      <c r="C16" s="5">
        <v>85.0</v>
      </c>
      <c r="D16" s="5">
        <v>0.392</v>
      </c>
      <c r="E16" s="26">
        <v>179433.0</v>
      </c>
      <c r="F16" s="27">
        <v>0.28</v>
      </c>
      <c r="G16" s="26">
        <v>457855.0</v>
      </c>
      <c r="H16" s="27">
        <v>0.72</v>
      </c>
    </row>
    <row r="17">
      <c r="A17" s="25">
        <v>43866.0</v>
      </c>
      <c r="B17" s="5" t="s">
        <v>30</v>
      </c>
      <c r="C17" s="5">
        <v>84.0</v>
      </c>
      <c r="D17" s="5">
        <v>0.392</v>
      </c>
      <c r="E17" s="26">
        <v>182927.0</v>
      </c>
      <c r="F17" s="27">
        <v>0.28</v>
      </c>
      <c r="G17" s="26">
        <v>466484.0</v>
      </c>
      <c r="H17" s="27">
        <v>0.72</v>
      </c>
    </row>
    <row r="18">
      <c r="A18" s="25">
        <v>43866.0</v>
      </c>
      <c r="B18" s="5" t="s">
        <v>30</v>
      </c>
      <c r="C18" s="5">
        <v>84.0</v>
      </c>
      <c r="D18" s="5">
        <v>0.399</v>
      </c>
      <c r="E18" s="26">
        <v>189269.0</v>
      </c>
      <c r="F18" s="27">
        <v>0.29</v>
      </c>
      <c r="G18" s="26">
        <v>473966.0</v>
      </c>
      <c r="H18" s="27">
        <v>0.71</v>
      </c>
    </row>
    <row r="19">
      <c r="A19" s="25">
        <v>43866.0</v>
      </c>
      <c r="B19" s="5" t="s">
        <v>30</v>
      </c>
      <c r="C19" s="5">
        <v>84.0</v>
      </c>
      <c r="D19" s="5">
        <v>0.4</v>
      </c>
      <c r="E19" s="26">
        <v>189844.0</v>
      </c>
      <c r="F19" s="27">
        <v>0.29</v>
      </c>
      <c r="G19" s="26">
        <v>474766.0</v>
      </c>
      <c r="H19" s="27">
        <v>0.71</v>
      </c>
    </row>
    <row r="20">
      <c r="A20" s="25">
        <v>43866.0</v>
      </c>
      <c r="B20" s="5" t="s">
        <v>30</v>
      </c>
      <c r="C20" s="5">
        <v>84.0</v>
      </c>
      <c r="D20" s="5">
        <v>0.404</v>
      </c>
      <c r="E20" s="26">
        <v>193061.0</v>
      </c>
      <c r="F20" s="27">
        <v>0.29</v>
      </c>
      <c r="G20" s="26">
        <v>478109.0</v>
      </c>
      <c r="H20" s="27">
        <v>0.71</v>
      </c>
    </row>
    <row r="21">
      <c r="A21" s="25">
        <v>43866.0</v>
      </c>
      <c r="B21" s="5" t="s">
        <v>30</v>
      </c>
      <c r="C21" s="5">
        <v>84.0</v>
      </c>
      <c r="D21" s="5">
        <v>0.402</v>
      </c>
      <c r="E21" s="26">
        <v>194022.0</v>
      </c>
      <c r="F21" s="27">
        <v>0.29</v>
      </c>
      <c r="G21" s="26">
        <v>482173.0</v>
      </c>
      <c r="H21" s="27">
        <v>0.71</v>
      </c>
    </row>
    <row r="22">
      <c r="A22" s="25">
        <v>43866.0</v>
      </c>
      <c r="B22" s="5" t="s">
        <v>30</v>
      </c>
      <c r="C22" s="5">
        <v>84.0</v>
      </c>
      <c r="D22" s="5">
        <v>0.401</v>
      </c>
      <c r="E22" s="26">
        <v>195593.0</v>
      </c>
      <c r="F22" s="27">
        <v>0.29</v>
      </c>
      <c r="G22" s="26">
        <v>487916.0</v>
      </c>
      <c r="H22" s="27">
        <v>0.71</v>
      </c>
    </row>
    <row r="23">
      <c r="A23" s="25">
        <v>43866.0</v>
      </c>
      <c r="B23" s="5" t="s">
        <v>30</v>
      </c>
      <c r="C23" s="5">
        <v>84.0</v>
      </c>
      <c r="D23" s="5">
        <v>0.397</v>
      </c>
      <c r="E23" s="26">
        <v>195593.0</v>
      </c>
      <c r="F23" s="27">
        <v>0.28</v>
      </c>
      <c r="G23" s="26">
        <v>492188.0</v>
      </c>
      <c r="H23" s="27">
        <v>0.72</v>
      </c>
    </row>
    <row r="24">
      <c r="A24" s="25">
        <v>43866.0</v>
      </c>
      <c r="B24" s="5" t="s">
        <v>30</v>
      </c>
      <c r="C24" s="5">
        <v>84.0</v>
      </c>
      <c r="D24" s="5">
        <v>0.398</v>
      </c>
      <c r="E24" s="26">
        <v>197593.0</v>
      </c>
      <c r="F24" s="27">
        <v>0.28</v>
      </c>
      <c r="G24" s="26">
        <v>496965.0</v>
      </c>
      <c r="H24" s="27">
        <v>0.72</v>
      </c>
    </row>
    <row r="25">
      <c r="A25" s="25">
        <v>43866.0</v>
      </c>
      <c r="B25" s="5" t="s">
        <v>30</v>
      </c>
      <c r="C25" s="5">
        <v>84.0</v>
      </c>
      <c r="D25" s="5">
        <v>0.395</v>
      </c>
      <c r="E25" s="26">
        <v>197593.0</v>
      </c>
      <c r="F25" s="27">
        <v>0.28</v>
      </c>
      <c r="G25" s="26">
        <v>499665.0</v>
      </c>
      <c r="H25" s="27">
        <v>0.72</v>
      </c>
    </row>
    <row r="26">
      <c r="A26" s="25">
        <v>43866.0</v>
      </c>
      <c r="B26" s="5" t="s">
        <v>30</v>
      </c>
      <c r="C26" s="5">
        <v>84.0</v>
      </c>
      <c r="D26" s="5">
        <v>0.391</v>
      </c>
      <c r="E26" s="26">
        <v>197593.0</v>
      </c>
      <c r="F26" s="27">
        <v>0.28</v>
      </c>
      <c r="G26" s="26">
        <v>505635.0</v>
      </c>
      <c r="H26" s="27">
        <v>0.72</v>
      </c>
    </row>
    <row r="27">
      <c r="A27" s="25">
        <v>43866.0</v>
      </c>
      <c r="B27" s="5" t="s">
        <v>30</v>
      </c>
      <c r="C27" s="5">
        <v>84.0</v>
      </c>
      <c r="D27" s="5">
        <v>0.39</v>
      </c>
      <c r="E27" s="26">
        <v>197593.0</v>
      </c>
      <c r="F27" s="27">
        <v>0.28</v>
      </c>
      <c r="G27" s="26">
        <v>507283.0</v>
      </c>
      <c r="H27" s="27">
        <v>0.72</v>
      </c>
    </row>
    <row r="28">
      <c r="A28" s="25">
        <v>43866.0</v>
      </c>
      <c r="B28" s="5" t="s">
        <v>30</v>
      </c>
      <c r="C28" s="5">
        <v>84.0</v>
      </c>
      <c r="D28" s="5">
        <v>0.39</v>
      </c>
      <c r="E28" s="26">
        <v>199121.0</v>
      </c>
      <c r="F28" s="27">
        <v>0.28</v>
      </c>
      <c r="G28" s="26">
        <v>510365.0</v>
      </c>
      <c r="H28" s="27">
        <v>0.72</v>
      </c>
    </row>
    <row r="29">
      <c r="A29" s="25">
        <v>43866.0</v>
      </c>
      <c r="B29" s="5" t="s">
        <v>30</v>
      </c>
      <c r="C29" s="5">
        <v>84.0</v>
      </c>
      <c r="D29" s="5">
        <v>0.392</v>
      </c>
      <c r="E29" s="26">
        <v>200037.0</v>
      </c>
      <c r="F29" s="27">
        <v>0.28</v>
      </c>
      <c r="G29" s="26">
        <v>510365.0</v>
      </c>
      <c r="H29" s="27">
        <v>0.72</v>
      </c>
    </row>
    <row r="30">
      <c r="A30" s="25">
        <v>43866.0</v>
      </c>
      <c r="B30" s="5" t="s">
        <v>30</v>
      </c>
      <c r="C30" s="5">
        <v>84.0</v>
      </c>
      <c r="D30" s="5">
        <v>0.391</v>
      </c>
      <c r="E30" s="26">
        <v>200037.0</v>
      </c>
      <c r="F30" s="27">
        <v>0.28</v>
      </c>
      <c r="G30" s="26">
        <v>511816.0</v>
      </c>
      <c r="H30" s="27">
        <v>0.72</v>
      </c>
    </row>
    <row r="31">
      <c r="A31" s="25">
        <v>43866.0</v>
      </c>
      <c r="B31" s="5" t="s">
        <v>30</v>
      </c>
      <c r="C31" s="5">
        <v>84.0</v>
      </c>
      <c r="D31" s="5">
        <v>0.389</v>
      </c>
      <c r="E31" s="26">
        <v>200618.0</v>
      </c>
      <c r="F31" s="27">
        <v>0.28</v>
      </c>
      <c r="G31" s="26">
        <v>515946.0</v>
      </c>
      <c r="H31" s="27">
        <v>0.72</v>
      </c>
    </row>
    <row r="32">
      <c r="A32" s="25">
        <v>43866.0</v>
      </c>
      <c r="B32" s="5" t="s">
        <v>30</v>
      </c>
      <c r="C32" s="5">
        <v>84.0</v>
      </c>
      <c r="D32" s="5">
        <v>0.387</v>
      </c>
      <c r="E32" s="26">
        <v>200618.0</v>
      </c>
      <c r="F32" s="27">
        <v>0.28</v>
      </c>
      <c r="G32" s="26">
        <v>517941.0</v>
      </c>
      <c r="H32" s="27">
        <v>0.72</v>
      </c>
    </row>
    <row r="33">
      <c r="A33" s="25">
        <v>43866.0</v>
      </c>
      <c r="B33" s="5" t="s">
        <v>30</v>
      </c>
      <c r="C33" s="5">
        <v>84.0</v>
      </c>
      <c r="D33" s="5">
        <v>0.387</v>
      </c>
      <c r="E33" s="26">
        <v>200618.0</v>
      </c>
      <c r="F33" s="27">
        <v>0.28</v>
      </c>
      <c r="G33" s="26">
        <v>517941.0</v>
      </c>
      <c r="H33" s="27">
        <v>0.72</v>
      </c>
    </row>
    <row r="34">
      <c r="A34" s="25">
        <v>43866.0</v>
      </c>
      <c r="B34" s="5" t="s">
        <v>30</v>
      </c>
      <c r="C34" s="5">
        <v>84.0</v>
      </c>
      <c r="D34" s="5">
        <v>0.386</v>
      </c>
      <c r="E34" s="26">
        <v>201226.0</v>
      </c>
      <c r="F34" s="27">
        <v>0.28</v>
      </c>
      <c r="G34" s="26">
        <v>521315.0</v>
      </c>
      <c r="H34" s="27">
        <v>0.72</v>
      </c>
    </row>
    <row r="35">
      <c r="A35" s="25">
        <v>43866.0</v>
      </c>
      <c r="B35" s="5" t="s">
        <v>30</v>
      </c>
      <c r="C35" s="5">
        <v>84.0</v>
      </c>
      <c r="D35" s="5">
        <v>0.383</v>
      </c>
      <c r="E35" s="26">
        <v>202031.0</v>
      </c>
      <c r="F35" s="27">
        <v>0.28</v>
      </c>
      <c r="G35" s="26">
        <v>528117.0</v>
      </c>
      <c r="H35" s="27">
        <v>0.72</v>
      </c>
    </row>
    <row r="36">
      <c r="A36" s="25">
        <v>43866.0</v>
      </c>
      <c r="B36" s="5" t="s">
        <v>30</v>
      </c>
      <c r="C36" s="5">
        <v>85.0</v>
      </c>
      <c r="D36" s="5">
        <v>0.377</v>
      </c>
      <c r="E36" s="26">
        <v>202031.0</v>
      </c>
      <c r="F36" s="27">
        <v>0.27</v>
      </c>
      <c r="G36" s="26">
        <v>536353.0</v>
      </c>
      <c r="H36" s="27">
        <v>0.73</v>
      </c>
    </row>
    <row r="37">
      <c r="A37" s="25">
        <v>43866.0</v>
      </c>
      <c r="B37" s="5" t="s">
        <v>30</v>
      </c>
      <c r="C37" s="5">
        <v>85.0</v>
      </c>
      <c r="D37" s="5">
        <v>0.373</v>
      </c>
      <c r="E37" s="26">
        <v>202031.0</v>
      </c>
      <c r="F37" s="27">
        <v>0.27</v>
      </c>
      <c r="G37" s="26">
        <v>542096.0</v>
      </c>
      <c r="H37" s="27">
        <v>0.73</v>
      </c>
    </row>
    <row r="38">
      <c r="A38" s="25">
        <v>43866.0</v>
      </c>
      <c r="B38" s="5" t="s">
        <v>30</v>
      </c>
      <c r="C38" s="5">
        <v>85.0</v>
      </c>
      <c r="D38" s="5">
        <v>0.371</v>
      </c>
      <c r="E38" s="26">
        <v>202031.0</v>
      </c>
      <c r="F38" s="27">
        <v>0.27</v>
      </c>
      <c r="G38" s="26">
        <v>544965.0</v>
      </c>
      <c r="H38" s="27">
        <v>0.73</v>
      </c>
    </row>
    <row r="39">
      <c r="A39" s="25">
        <v>43866.0</v>
      </c>
      <c r="B39" s="5" t="s">
        <v>30</v>
      </c>
      <c r="C39" s="5">
        <v>85.0</v>
      </c>
      <c r="D39" s="5">
        <v>0.369</v>
      </c>
      <c r="E39" s="26">
        <v>202031.0</v>
      </c>
      <c r="F39" s="27">
        <v>0.27</v>
      </c>
      <c r="G39" s="26">
        <v>546830.0</v>
      </c>
      <c r="H39" s="27">
        <v>0.73</v>
      </c>
    </row>
    <row r="40">
      <c r="A40" s="25">
        <v>43866.0</v>
      </c>
      <c r="B40" s="5" t="s">
        <v>30</v>
      </c>
      <c r="C40" s="5">
        <v>85.0</v>
      </c>
      <c r="D40" s="5">
        <v>0.366</v>
      </c>
      <c r="E40" s="26">
        <v>204143.0</v>
      </c>
      <c r="F40" s="27">
        <v>0.27</v>
      </c>
      <c r="G40" s="26">
        <v>557138.0</v>
      </c>
      <c r="H40" s="27">
        <v>0.73</v>
      </c>
    </row>
    <row r="41">
      <c r="A41" s="25">
        <v>43866.0</v>
      </c>
      <c r="B41" s="5" t="s">
        <v>30</v>
      </c>
      <c r="C41" s="5">
        <v>85.0</v>
      </c>
      <c r="D41" s="5">
        <v>0.377</v>
      </c>
      <c r="E41" s="26">
        <v>210443.0</v>
      </c>
      <c r="F41" s="27">
        <v>0.27</v>
      </c>
      <c r="G41" s="26">
        <v>557982.0</v>
      </c>
      <c r="H41" s="27">
        <v>0.73</v>
      </c>
    </row>
    <row r="42">
      <c r="A42" s="25">
        <v>43866.0</v>
      </c>
      <c r="B42" s="5" t="s">
        <v>30</v>
      </c>
      <c r="C42" s="5">
        <v>85.0</v>
      </c>
      <c r="D42" s="5">
        <v>0.379</v>
      </c>
      <c r="E42" s="26">
        <v>211706.0</v>
      </c>
      <c r="F42" s="27">
        <v>0.27</v>
      </c>
      <c r="G42" s="26">
        <v>559148.0</v>
      </c>
      <c r="H42" s="27">
        <v>0.73</v>
      </c>
    </row>
    <row r="43">
      <c r="A43" s="25">
        <v>43866.0</v>
      </c>
      <c r="B43" s="5" t="s">
        <v>30</v>
      </c>
      <c r="C43" s="5">
        <v>85.0</v>
      </c>
      <c r="D43" s="5">
        <v>0.377</v>
      </c>
      <c r="E43" s="26">
        <v>211706.0</v>
      </c>
      <c r="F43" s="27">
        <v>0.27</v>
      </c>
      <c r="G43" s="26">
        <v>561416.0</v>
      </c>
      <c r="H43" s="27">
        <v>0.73</v>
      </c>
      <c r="L43" s="26"/>
      <c r="M43" s="27"/>
      <c r="N43" s="26"/>
      <c r="O43" s="27"/>
    </row>
    <row r="44">
      <c r="A44" s="25">
        <v>43866.0</v>
      </c>
      <c r="B44" s="5" t="s">
        <v>30</v>
      </c>
      <c r="C44" s="5">
        <v>85.0</v>
      </c>
      <c r="D44" s="5">
        <v>0.376</v>
      </c>
      <c r="E44" s="26">
        <v>211706.0</v>
      </c>
      <c r="F44" s="27">
        <v>0.27</v>
      </c>
      <c r="G44" s="26">
        <v>562846.0</v>
      </c>
      <c r="H44" s="27">
        <v>0.73</v>
      </c>
    </row>
    <row r="45">
      <c r="A45" s="25">
        <v>43866.0</v>
      </c>
      <c r="B45" s="5" t="s">
        <v>30</v>
      </c>
      <c r="C45" s="5">
        <v>85.0</v>
      </c>
      <c r="D45" s="5">
        <v>0.376</v>
      </c>
      <c r="E45" s="26">
        <v>211706.0</v>
      </c>
      <c r="F45" s="27">
        <v>0.27</v>
      </c>
      <c r="G45" s="26">
        <v>563350.0</v>
      </c>
      <c r="H45" s="27">
        <v>0.73</v>
      </c>
      <c r="O45" s="25"/>
      <c r="P45" s="5"/>
      <c r="Q45" s="5"/>
      <c r="R45" s="5"/>
      <c r="S45" s="26"/>
      <c r="T45" s="27"/>
      <c r="U45" s="26"/>
      <c r="V45" s="27"/>
    </row>
    <row r="46">
      <c r="A46" s="25">
        <v>43866.0</v>
      </c>
      <c r="B46" s="5" t="s">
        <v>30</v>
      </c>
      <c r="C46" s="5">
        <v>85.0</v>
      </c>
      <c r="D46" s="5">
        <v>0.374</v>
      </c>
      <c r="E46" s="26">
        <v>212486.0</v>
      </c>
      <c r="F46" s="27">
        <v>0.27</v>
      </c>
      <c r="G46" s="26">
        <v>567567.0</v>
      </c>
      <c r="H46" s="27">
        <v>0.73</v>
      </c>
    </row>
    <row r="47">
      <c r="A47" s="25">
        <v>43866.0</v>
      </c>
      <c r="B47" s="5" t="s">
        <v>30</v>
      </c>
      <c r="C47" s="5">
        <v>85.0</v>
      </c>
      <c r="D47" s="5">
        <v>0.372</v>
      </c>
      <c r="E47" s="26">
        <v>214222.0</v>
      </c>
      <c r="F47" s="27">
        <v>0.27</v>
      </c>
      <c r="G47" s="26">
        <v>575391.0</v>
      </c>
      <c r="H47" s="27">
        <v>0.73</v>
      </c>
    </row>
    <row r="48">
      <c r="A48" s="25">
        <v>43866.0</v>
      </c>
      <c r="B48" s="5" t="s">
        <v>30</v>
      </c>
      <c r="C48" s="5">
        <v>86.0</v>
      </c>
      <c r="D48" s="5">
        <v>0.37</v>
      </c>
      <c r="E48" s="26">
        <v>214222.0</v>
      </c>
      <c r="F48" s="27">
        <v>0.27</v>
      </c>
      <c r="G48" s="26">
        <v>579303.0</v>
      </c>
      <c r="H48" s="27">
        <v>0.73</v>
      </c>
      <c r="I48" s="5"/>
      <c r="J48" s="5"/>
      <c r="K48" s="5"/>
      <c r="L48" s="26"/>
      <c r="M48" s="27"/>
      <c r="N48" s="26"/>
      <c r="O48" s="27"/>
    </row>
    <row r="49">
      <c r="A49" s="25">
        <v>43866.0</v>
      </c>
      <c r="B49" s="5" t="s">
        <v>30</v>
      </c>
      <c r="C49" s="5">
        <v>86.0</v>
      </c>
      <c r="D49" s="5">
        <v>0.367</v>
      </c>
      <c r="E49" s="26">
        <v>214722.0</v>
      </c>
      <c r="F49" s="27">
        <v>0.27</v>
      </c>
      <c r="G49" s="26">
        <v>584910.0</v>
      </c>
      <c r="H49" s="27">
        <v>0.73</v>
      </c>
    </row>
    <row r="50">
      <c r="A50" s="25">
        <v>43866.0</v>
      </c>
      <c r="B50" s="5" t="s">
        <v>30</v>
      </c>
      <c r="C50" s="5">
        <v>86.0</v>
      </c>
      <c r="D50" s="5">
        <v>0.366</v>
      </c>
      <c r="E50" s="26">
        <v>214722.0</v>
      </c>
      <c r="F50" s="27">
        <v>0.27</v>
      </c>
      <c r="G50" s="26">
        <v>587410.0</v>
      </c>
      <c r="H50" s="27">
        <v>0.73</v>
      </c>
    </row>
    <row r="51">
      <c r="A51" s="25">
        <v>43866.0</v>
      </c>
      <c r="B51" s="5" t="s">
        <v>30</v>
      </c>
      <c r="C51" s="5">
        <v>86.0</v>
      </c>
      <c r="D51" s="5">
        <v>0.365</v>
      </c>
      <c r="E51" s="26">
        <v>214722.0</v>
      </c>
      <c r="F51" s="27">
        <v>0.27</v>
      </c>
      <c r="G51" s="26">
        <v>588523.0</v>
      </c>
      <c r="H51" s="27">
        <v>0.73</v>
      </c>
    </row>
    <row r="52">
      <c r="A52" s="25">
        <v>43866.0</v>
      </c>
      <c r="B52" s="5" t="s">
        <v>30</v>
      </c>
      <c r="C52" s="5">
        <v>86.0</v>
      </c>
      <c r="D52" s="5">
        <v>0.363</v>
      </c>
      <c r="E52" s="26">
        <v>214722.0</v>
      </c>
      <c r="F52" s="27">
        <v>0.27</v>
      </c>
      <c r="G52" s="26">
        <v>591601.0</v>
      </c>
      <c r="H52" s="27">
        <v>0.73</v>
      </c>
      <c r="O52" s="25"/>
      <c r="P52" s="5"/>
      <c r="Q52" s="5"/>
      <c r="R52" s="5"/>
      <c r="S52" s="26"/>
      <c r="T52" s="27"/>
      <c r="U52" s="26"/>
      <c r="V52" s="27"/>
    </row>
    <row r="53">
      <c r="A53" s="25">
        <v>43866.0</v>
      </c>
      <c r="B53" s="5" t="s">
        <v>30</v>
      </c>
      <c r="C53" s="5">
        <v>86.0</v>
      </c>
      <c r="D53" s="5">
        <v>0.364</v>
      </c>
      <c r="E53" s="26">
        <v>215522.0</v>
      </c>
      <c r="F53" s="27">
        <v>0.27</v>
      </c>
      <c r="G53" s="26">
        <v>592426.0</v>
      </c>
      <c r="H53" s="27">
        <v>0.73</v>
      </c>
      <c r="I53" s="5"/>
      <c r="J53" s="5"/>
      <c r="K53" s="5"/>
      <c r="L53" s="26"/>
      <c r="M53" s="27"/>
      <c r="N53" s="26"/>
      <c r="O53" s="27"/>
    </row>
    <row r="54">
      <c r="A54" s="25">
        <v>43866.0</v>
      </c>
      <c r="B54" s="5" t="s">
        <v>30</v>
      </c>
      <c r="C54" s="5">
        <v>86.0</v>
      </c>
      <c r="D54" s="5">
        <v>0.367</v>
      </c>
      <c r="E54" s="26">
        <v>217724.0</v>
      </c>
      <c r="F54" s="27">
        <v>0.27</v>
      </c>
      <c r="G54" s="26">
        <v>593151.0</v>
      </c>
      <c r="H54" s="27">
        <v>0.73</v>
      </c>
      <c r="I54" s="5"/>
      <c r="J54" s="5"/>
      <c r="K54" s="5"/>
      <c r="L54" s="26"/>
      <c r="M54" s="27"/>
      <c r="N54" s="26"/>
      <c r="O54" s="27"/>
    </row>
    <row r="55">
      <c r="A55" s="25">
        <v>43866.0</v>
      </c>
      <c r="B55" s="5" t="s">
        <v>30</v>
      </c>
      <c r="C55" s="5">
        <v>86.0</v>
      </c>
      <c r="D55" s="5">
        <v>0.367</v>
      </c>
      <c r="E55" s="26">
        <v>218890.0</v>
      </c>
      <c r="F55" s="27">
        <v>0.27</v>
      </c>
      <c r="G55" s="26">
        <v>596394.0</v>
      </c>
      <c r="H55" s="27">
        <v>0.73</v>
      </c>
      <c r="O55" s="25"/>
      <c r="S55" s="26"/>
      <c r="T55" s="27"/>
      <c r="U55" s="26"/>
      <c r="V55" s="27"/>
    </row>
    <row r="56">
      <c r="A56" s="25">
        <v>43866.0</v>
      </c>
      <c r="B56" s="5" t="s">
        <v>30</v>
      </c>
      <c r="C56" s="5">
        <v>86.0</v>
      </c>
      <c r="D56" s="5">
        <v>0.367</v>
      </c>
      <c r="E56" s="26">
        <v>218890.0</v>
      </c>
      <c r="F56" s="27">
        <v>0.27</v>
      </c>
      <c r="G56" s="26">
        <v>596690.0</v>
      </c>
      <c r="H56" s="27">
        <v>0.73</v>
      </c>
      <c r="L56" s="26"/>
      <c r="M56" s="27"/>
      <c r="N56" s="26"/>
      <c r="O56" s="27"/>
    </row>
    <row r="57">
      <c r="A57" s="25">
        <v>43866.0</v>
      </c>
      <c r="B57" s="5" t="s">
        <v>30</v>
      </c>
      <c r="C57" s="5">
        <v>86.0</v>
      </c>
      <c r="D57" s="5">
        <v>0.366</v>
      </c>
      <c r="E57" s="26">
        <v>218890.0</v>
      </c>
      <c r="F57" s="27">
        <v>0.27</v>
      </c>
      <c r="G57" s="26">
        <v>597692.0</v>
      </c>
      <c r="H57" s="27">
        <v>0.73</v>
      </c>
    </row>
    <row r="58">
      <c r="A58" s="25">
        <v>43866.0</v>
      </c>
      <c r="B58" s="5" t="s">
        <v>30</v>
      </c>
      <c r="C58" s="5">
        <v>86.0</v>
      </c>
      <c r="D58" s="5">
        <v>0.366</v>
      </c>
      <c r="E58" s="26">
        <v>218890.0</v>
      </c>
      <c r="F58" s="27">
        <v>0.27</v>
      </c>
      <c r="G58" s="26">
        <v>597692.0</v>
      </c>
      <c r="H58" s="27">
        <v>0.73</v>
      </c>
    </row>
    <row r="59">
      <c r="A59" s="25">
        <v>43866.0</v>
      </c>
      <c r="B59" s="5" t="s">
        <v>30</v>
      </c>
      <c r="C59" s="5">
        <v>82.0</v>
      </c>
      <c r="D59" s="5">
        <v>0.396</v>
      </c>
      <c r="E59" s="26">
        <v>101254.0</v>
      </c>
      <c r="F59" s="27">
        <v>0.28</v>
      </c>
      <c r="G59" s="26">
        <v>255671.0</v>
      </c>
      <c r="H59" s="27">
        <v>0.72</v>
      </c>
    </row>
    <row r="60">
      <c r="A60" s="25">
        <v>43866.0</v>
      </c>
      <c r="B60" s="5" t="s">
        <v>30</v>
      </c>
      <c r="C60" s="5">
        <v>81.0</v>
      </c>
      <c r="D60" s="5">
        <v>0.415</v>
      </c>
      <c r="E60" s="26">
        <v>107904.0</v>
      </c>
      <c r="F60" s="27">
        <v>0.29</v>
      </c>
      <c r="G60" s="26">
        <v>260116.0</v>
      </c>
      <c r="H60" s="27">
        <v>0.71</v>
      </c>
    </row>
    <row r="61">
      <c r="A61" s="25">
        <v>43866.0</v>
      </c>
      <c r="B61" s="5" t="s">
        <v>30</v>
      </c>
      <c r="C61" s="5">
        <v>81.0</v>
      </c>
      <c r="D61" s="5">
        <v>0.415</v>
      </c>
      <c r="E61" s="26">
        <v>107904.0</v>
      </c>
      <c r="F61" s="27">
        <v>0.29</v>
      </c>
      <c r="G61" s="26">
        <v>260116.0</v>
      </c>
      <c r="H61" s="27">
        <v>0.71</v>
      </c>
    </row>
    <row r="62">
      <c r="A62" s="25">
        <v>43866.0</v>
      </c>
      <c r="B62" s="5" t="s">
        <v>30</v>
      </c>
      <c r="C62" s="5">
        <v>81.0</v>
      </c>
      <c r="D62" s="5">
        <v>0.414</v>
      </c>
      <c r="E62" s="26">
        <v>107904.0</v>
      </c>
      <c r="F62" s="27">
        <v>0.29</v>
      </c>
      <c r="G62" s="26">
        <v>260793.0</v>
      </c>
      <c r="H62" s="27">
        <v>0.71</v>
      </c>
    </row>
    <row r="63">
      <c r="A63" s="25">
        <v>43866.0</v>
      </c>
      <c r="B63" s="5" t="s">
        <v>30</v>
      </c>
      <c r="C63" s="5">
        <v>81.0</v>
      </c>
      <c r="D63" s="5">
        <v>0.416</v>
      </c>
      <c r="E63" s="26">
        <v>108407.0</v>
      </c>
      <c r="F63" s="27">
        <v>0.29</v>
      </c>
      <c r="G63" s="26">
        <v>260848.0</v>
      </c>
      <c r="H63" s="27">
        <v>0.71</v>
      </c>
    </row>
    <row r="64">
      <c r="A64" s="25">
        <v>43866.0</v>
      </c>
      <c r="B64" s="5" t="s">
        <v>30</v>
      </c>
      <c r="C64" s="5">
        <v>81.0</v>
      </c>
      <c r="D64" s="5">
        <v>0.416</v>
      </c>
      <c r="E64" s="26">
        <v>109057.0</v>
      </c>
      <c r="F64" s="27">
        <v>0.29</v>
      </c>
      <c r="G64" s="26">
        <v>262010.0</v>
      </c>
      <c r="H64" s="27">
        <v>0.71</v>
      </c>
    </row>
    <row r="65">
      <c r="A65" s="25">
        <v>43866.0</v>
      </c>
      <c r="B65" s="5" t="s">
        <v>30</v>
      </c>
      <c r="C65" s="5">
        <v>81.0</v>
      </c>
      <c r="D65" s="5">
        <v>0.419</v>
      </c>
      <c r="E65" s="26">
        <v>109799.0</v>
      </c>
      <c r="F65" s="27">
        <v>0.3</v>
      </c>
      <c r="G65" s="26">
        <v>262010.0</v>
      </c>
      <c r="H65" s="27">
        <v>0.7</v>
      </c>
    </row>
    <row r="66">
      <c r="A66" s="25">
        <v>43866.0</v>
      </c>
      <c r="B66" s="5" t="s">
        <v>30</v>
      </c>
      <c r="C66" s="5">
        <v>81.0</v>
      </c>
      <c r="D66" s="5">
        <v>0.42</v>
      </c>
      <c r="E66" s="26">
        <v>111330.0</v>
      </c>
      <c r="F66" s="27">
        <v>0.3</v>
      </c>
      <c r="G66" s="26">
        <v>265010.0</v>
      </c>
      <c r="H66" s="27">
        <v>0.7</v>
      </c>
    </row>
    <row r="67">
      <c r="A67" s="25">
        <v>43866.0</v>
      </c>
      <c r="B67" s="5" t="s">
        <v>30</v>
      </c>
      <c r="C67" s="5">
        <v>81.0</v>
      </c>
      <c r="D67" s="5">
        <v>0.419</v>
      </c>
      <c r="E67" s="26">
        <v>111330.0</v>
      </c>
      <c r="F67" s="27">
        <v>0.3</v>
      </c>
      <c r="G67" s="26">
        <v>265573.0</v>
      </c>
      <c r="H67" s="27">
        <v>0.7</v>
      </c>
    </row>
    <row r="68">
      <c r="A68" s="25">
        <v>43866.0</v>
      </c>
      <c r="B68" s="5" t="s">
        <v>30</v>
      </c>
      <c r="C68" s="5">
        <v>81.0</v>
      </c>
      <c r="D68" s="5">
        <v>0.418</v>
      </c>
      <c r="E68" s="26">
        <v>111330.0</v>
      </c>
      <c r="F68" s="27">
        <v>0.29</v>
      </c>
      <c r="G68" s="26">
        <v>266622.0</v>
      </c>
      <c r="H68" s="27">
        <v>0.71</v>
      </c>
    </row>
    <row r="69">
      <c r="A69" s="25">
        <v>43866.0</v>
      </c>
      <c r="B69" s="5" t="s">
        <v>30</v>
      </c>
      <c r="C69" s="5">
        <v>81.0</v>
      </c>
      <c r="D69" s="5">
        <v>0.404</v>
      </c>
      <c r="E69" s="26">
        <v>111330.0</v>
      </c>
      <c r="F69" s="27">
        <v>0.29</v>
      </c>
      <c r="G69" s="26">
        <v>275469.0</v>
      </c>
      <c r="H69" s="27">
        <v>0.71</v>
      </c>
    </row>
    <row r="70">
      <c r="A70" s="25">
        <v>43866.0</v>
      </c>
      <c r="B70" s="5" t="s">
        <v>30</v>
      </c>
      <c r="C70" s="5">
        <v>82.0</v>
      </c>
      <c r="D70" s="5">
        <v>0.403</v>
      </c>
      <c r="E70" s="26">
        <v>111330.0</v>
      </c>
      <c r="F70" s="27">
        <v>0.29</v>
      </c>
      <c r="G70" s="26">
        <v>276170.0</v>
      </c>
      <c r="H70" s="27">
        <v>0.71</v>
      </c>
    </row>
    <row r="71">
      <c r="A71" s="25">
        <v>43866.0</v>
      </c>
      <c r="B71" s="5" t="s">
        <v>30</v>
      </c>
      <c r="C71" s="5">
        <v>82.0</v>
      </c>
      <c r="D71" s="5">
        <v>0.403</v>
      </c>
      <c r="E71" s="26">
        <v>111330.0</v>
      </c>
      <c r="F71" s="27">
        <v>0.29</v>
      </c>
      <c r="G71" s="26">
        <v>276270.0</v>
      </c>
      <c r="H71" s="27">
        <v>0.71</v>
      </c>
    </row>
    <row r="72">
      <c r="A72" s="25">
        <v>43866.0</v>
      </c>
      <c r="B72" s="5" t="s">
        <v>30</v>
      </c>
      <c r="C72" s="5">
        <v>82.0</v>
      </c>
      <c r="D72" s="5">
        <v>0.403</v>
      </c>
      <c r="E72" s="26">
        <v>111330.0</v>
      </c>
      <c r="F72" s="27">
        <v>0.29</v>
      </c>
      <c r="G72" s="26">
        <v>276270.0</v>
      </c>
      <c r="H72" s="27">
        <v>0.71</v>
      </c>
    </row>
    <row r="73">
      <c r="A73" s="25">
        <v>43866.0</v>
      </c>
      <c r="B73" s="5" t="s">
        <v>30</v>
      </c>
      <c r="C73" s="5">
        <v>81.0</v>
      </c>
      <c r="D73" s="5">
        <v>0.418</v>
      </c>
      <c r="E73" s="26">
        <v>115734.0</v>
      </c>
      <c r="F73" s="27">
        <v>0.29</v>
      </c>
      <c r="G73" s="26">
        <v>276844.0</v>
      </c>
      <c r="H73" s="27">
        <v>0.71</v>
      </c>
    </row>
    <row r="74">
      <c r="A74" s="25">
        <v>43866.0</v>
      </c>
      <c r="B74" s="5" t="s">
        <v>30</v>
      </c>
      <c r="C74" s="5">
        <v>81.0</v>
      </c>
      <c r="D74" s="5">
        <v>0.429</v>
      </c>
      <c r="E74" s="26">
        <v>118734.0</v>
      </c>
      <c r="F74" s="27">
        <v>0.3</v>
      </c>
      <c r="G74" s="26">
        <v>276844.0</v>
      </c>
      <c r="H74" s="27">
        <v>0.7</v>
      </c>
    </row>
    <row r="75">
      <c r="A75" s="25">
        <v>43866.0</v>
      </c>
      <c r="B75" s="5" t="s">
        <v>30</v>
      </c>
      <c r="C75" s="5">
        <v>81.0</v>
      </c>
      <c r="D75" s="5">
        <v>0.425</v>
      </c>
      <c r="E75" s="26">
        <v>118734.0</v>
      </c>
      <c r="F75" s="27">
        <v>0.3</v>
      </c>
      <c r="G75" s="26">
        <v>279671.0</v>
      </c>
      <c r="H75" s="27">
        <v>0.7</v>
      </c>
    </row>
    <row r="76">
      <c r="A76" s="25">
        <v>43866.0</v>
      </c>
      <c r="B76" s="5" t="s">
        <v>30</v>
      </c>
      <c r="C76" s="5">
        <v>81.0</v>
      </c>
      <c r="D76" s="5">
        <v>0.421</v>
      </c>
      <c r="E76" s="26">
        <v>118734.0</v>
      </c>
      <c r="F76" s="27">
        <v>0.3</v>
      </c>
      <c r="G76" s="26">
        <v>281952.0</v>
      </c>
      <c r="H76" s="27">
        <v>0.7</v>
      </c>
    </row>
    <row r="77">
      <c r="A77" s="25">
        <v>43866.0</v>
      </c>
      <c r="B77" s="5" t="s">
        <v>30</v>
      </c>
      <c r="C77" s="5">
        <v>81.0</v>
      </c>
      <c r="D77" s="5">
        <v>0.421</v>
      </c>
      <c r="E77" s="26">
        <v>118734.0</v>
      </c>
      <c r="F77" s="27">
        <v>0.3</v>
      </c>
      <c r="G77" s="26">
        <v>281952.0</v>
      </c>
      <c r="H77" s="27">
        <v>0.7</v>
      </c>
    </row>
    <row r="78">
      <c r="A78" s="25">
        <v>43866.0</v>
      </c>
      <c r="B78" s="5" t="s">
        <v>30</v>
      </c>
      <c r="C78" s="5">
        <v>81.0</v>
      </c>
      <c r="D78" s="5">
        <v>0.419</v>
      </c>
      <c r="E78" s="26">
        <v>118734.0</v>
      </c>
      <c r="F78" s="27">
        <v>0.3</v>
      </c>
      <c r="G78" s="26">
        <v>283122.0</v>
      </c>
      <c r="H78" s="27">
        <v>0.7</v>
      </c>
    </row>
    <row r="79">
      <c r="A79" s="25">
        <v>43866.0</v>
      </c>
      <c r="B79" s="5" t="s">
        <v>30</v>
      </c>
      <c r="C79" s="5">
        <v>81.0</v>
      </c>
      <c r="D79" s="5">
        <v>0.43</v>
      </c>
      <c r="E79" s="26">
        <v>122117.0</v>
      </c>
      <c r="F79" s="27">
        <v>0.3</v>
      </c>
      <c r="G79" s="26">
        <v>283751.0</v>
      </c>
      <c r="H79" s="27">
        <v>0.7</v>
      </c>
    </row>
    <row r="80">
      <c r="A80" s="25">
        <v>43866.0</v>
      </c>
      <c r="B80" s="5" t="s">
        <v>30</v>
      </c>
      <c r="C80" s="5">
        <v>81.0</v>
      </c>
      <c r="D80" s="5">
        <v>0.43</v>
      </c>
      <c r="E80" s="26">
        <v>122117.0</v>
      </c>
      <c r="F80" s="27">
        <v>0.3</v>
      </c>
      <c r="G80" s="26">
        <v>283751.0</v>
      </c>
      <c r="H80" s="27">
        <v>0.7</v>
      </c>
    </row>
    <row r="81">
      <c r="A81" s="25">
        <v>43866.0</v>
      </c>
      <c r="B81" s="5" t="s">
        <v>30</v>
      </c>
      <c r="C81" s="5">
        <v>81.0</v>
      </c>
      <c r="D81" s="5">
        <v>0.429</v>
      </c>
      <c r="E81" s="26">
        <v>122117.0</v>
      </c>
      <c r="F81" s="27">
        <v>0.3</v>
      </c>
      <c r="G81" s="26">
        <v>284443.0</v>
      </c>
      <c r="H81" s="27">
        <v>0.7</v>
      </c>
    </row>
    <row r="82">
      <c r="A82" s="25">
        <v>43866.0</v>
      </c>
      <c r="B82" s="5" t="s">
        <v>30</v>
      </c>
      <c r="C82" s="5">
        <v>82.0</v>
      </c>
      <c r="D82" s="5">
        <v>0.415</v>
      </c>
      <c r="E82" s="26">
        <v>122117.0</v>
      </c>
      <c r="F82" s="27">
        <v>0.29</v>
      </c>
      <c r="G82" s="26">
        <v>293991.0</v>
      </c>
      <c r="H82" s="27">
        <v>0.71</v>
      </c>
    </row>
    <row r="83">
      <c r="A83" s="25">
        <v>43866.0</v>
      </c>
      <c r="B83" s="5" t="s">
        <v>30</v>
      </c>
      <c r="C83" s="5">
        <v>82.0</v>
      </c>
      <c r="D83" s="5">
        <v>0.414</v>
      </c>
      <c r="E83" s="26">
        <v>122117.0</v>
      </c>
      <c r="F83" s="27">
        <v>0.29</v>
      </c>
      <c r="G83" s="26">
        <v>294727.0</v>
      </c>
      <c r="H83" s="27">
        <v>0.71</v>
      </c>
    </row>
    <row r="84">
      <c r="A84" s="25">
        <v>43866.0</v>
      </c>
      <c r="B84" s="5" t="s">
        <v>30</v>
      </c>
      <c r="C84" s="5">
        <v>82.0</v>
      </c>
      <c r="D84" s="5">
        <v>0.413</v>
      </c>
      <c r="E84" s="26">
        <v>122117.0</v>
      </c>
      <c r="F84" s="27">
        <v>0.29</v>
      </c>
      <c r="G84" s="26">
        <v>295674.0</v>
      </c>
      <c r="H84" s="27">
        <v>0.71</v>
      </c>
    </row>
    <row r="85">
      <c r="A85" s="25">
        <v>43866.0</v>
      </c>
      <c r="B85" s="5" t="s">
        <v>30</v>
      </c>
      <c r="C85" s="5">
        <v>82.0</v>
      </c>
      <c r="D85" s="5">
        <v>0.391</v>
      </c>
      <c r="E85" s="26">
        <v>122117.0</v>
      </c>
      <c r="F85" s="27">
        <v>0.28</v>
      </c>
      <c r="G85" s="26">
        <v>312067.0</v>
      </c>
      <c r="H85" s="27">
        <v>0.72</v>
      </c>
    </row>
    <row r="86">
      <c r="A86" s="25">
        <v>43866.0</v>
      </c>
      <c r="B86" s="5" t="s">
        <v>30</v>
      </c>
      <c r="C86" s="5">
        <v>81.0</v>
      </c>
      <c r="D86" s="5">
        <v>0.392</v>
      </c>
      <c r="E86" s="26">
        <v>123837.0</v>
      </c>
      <c r="F86" s="27">
        <v>0.28</v>
      </c>
      <c r="G86" s="26">
        <v>315636.0</v>
      </c>
      <c r="H86" s="27">
        <v>0.72</v>
      </c>
    </row>
    <row r="87">
      <c r="A87" s="25">
        <v>43866.0</v>
      </c>
      <c r="B87" s="5" t="s">
        <v>30</v>
      </c>
      <c r="C87" s="5">
        <v>81.0</v>
      </c>
      <c r="D87" s="5">
        <v>0.392</v>
      </c>
      <c r="E87" s="26">
        <v>124954.0</v>
      </c>
      <c r="F87" s="27">
        <v>0.28</v>
      </c>
      <c r="G87" s="26">
        <v>319093.0</v>
      </c>
      <c r="H87" s="27">
        <v>0.72</v>
      </c>
    </row>
    <row r="88">
      <c r="A88" s="25">
        <v>43866.0</v>
      </c>
      <c r="B88" s="5" t="s">
        <v>30</v>
      </c>
      <c r="C88" s="5">
        <v>82.0</v>
      </c>
      <c r="D88" s="5">
        <v>0.388</v>
      </c>
      <c r="E88" s="26">
        <v>124954.0</v>
      </c>
      <c r="F88" s="27">
        <v>0.28</v>
      </c>
      <c r="G88" s="26">
        <v>321632.0</v>
      </c>
      <c r="H88" s="27">
        <v>0.72</v>
      </c>
    </row>
    <row r="89">
      <c r="A89" s="25">
        <v>43866.0</v>
      </c>
      <c r="B89" s="5" t="s">
        <v>30</v>
      </c>
      <c r="C89" s="5">
        <v>82.0</v>
      </c>
      <c r="D89" s="5">
        <v>0.391</v>
      </c>
      <c r="E89" s="26">
        <v>125754.0</v>
      </c>
      <c r="F89" s="27">
        <v>0.28</v>
      </c>
      <c r="G89" s="26">
        <v>321632.0</v>
      </c>
      <c r="H89" s="27">
        <v>0.72</v>
      </c>
    </row>
    <row r="90">
      <c r="A90" s="25">
        <v>43866.0</v>
      </c>
      <c r="B90" s="5" t="s">
        <v>30</v>
      </c>
      <c r="C90" s="5">
        <v>82.0</v>
      </c>
      <c r="D90" s="5">
        <v>0.391</v>
      </c>
      <c r="E90" s="26">
        <v>126769.0</v>
      </c>
      <c r="F90" s="27">
        <v>0.28</v>
      </c>
      <c r="G90" s="26">
        <v>324402.0</v>
      </c>
      <c r="H90" s="27">
        <v>0.72</v>
      </c>
    </row>
    <row r="91">
      <c r="A91" s="25">
        <v>43866.0</v>
      </c>
      <c r="B91" s="5" t="s">
        <v>30</v>
      </c>
      <c r="C91" s="5">
        <v>82.0</v>
      </c>
      <c r="D91" s="5">
        <v>0.393</v>
      </c>
      <c r="E91" s="26">
        <v>127691.0</v>
      </c>
      <c r="F91" s="27">
        <v>0.28</v>
      </c>
      <c r="G91" s="26">
        <v>324582.0</v>
      </c>
      <c r="H91" s="27">
        <v>0.72</v>
      </c>
    </row>
    <row r="92">
      <c r="A92" s="25">
        <v>43866.0</v>
      </c>
      <c r="B92" s="5" t="s">
        <v>30</v>
      </c>
      <c r="C92" s="5">
        <v>82.0</v>
      </c>
      <c r="D92" s="5">
        <v>0.382</v>
      </c>
      <c r="E92" s="26">
        <v>127952.0</v>
      </c>
      <c r="F92" s="27">
        <v>0.28</v>
      </c>
      <c r="G92" s="26">
        <v>334540.0</v>
      </c>
      <c r="H92" s="27">
        <v>0.72</v>
      </c>
    </row>
    <row r="93">
      <c r="A93" s="25">
        <v>43866.0</v>
      </c>
      <c r="B93" s="5" t="s">
        <v>30</v>
      </c>
      <c r="C93" s="5">
        <v>81.0</v>
      </c>
      <c r="D93" s="5">
        <v>0.385</v>
      </c>
      <c r="E93" s="26">
        <v>129271.0</v>
      </c>
      <c r="F93" s="27">
        <v>0.28</v>
      </c>
      <c r="G93" s="26">
        <v>335892.0</v>
      </c>
      <c r="H93" s="27">
        <v>0.72</v>
      </c>
    </row>
    <row r="94">
      <c r="A94" s="25">
        <v>43866.0</v>
      </c>
      <c r="B94" s="5" t="s">
        <v>30</v>
      </c>
      <c r="C94" s="5">
        <v>82.0</v>
      </c>
      <c r="D94" s="5">
        <v>0.377</v>
      </c>
      <c r="E94" s="26">
        <v>129771.0</v>
      </c>
      <c r="F94" s="27">
        <v>0.27</v>
      </c>
      <c r="G94" s="26">
        <v>344048.0</v>
      </c>
      <c r="H94" s="27">
        <v>0.73</v>
      </c>
    </row>
    <row r="95">
      <c r="A95" s="25">
        <v>43866.0</v>
      </c>
      <c r="B95" s="5" t="s">
        <v>30</v>
      </c>
      <c r="C95" s="5">
        <v>81.0</v>
      </c>
      <c r="D95" s="5">
        <v>0.387</v>
      </c>
      <c r="E95" s="26">
        <v>134771.0</v>
      </c>
      <c r="F95" s="27">
        <v>0.28</v>
      </c>
      <c r="G95" s="26">
        <v>348682.0</v>
      </c>
      <c r="H95" s="27">
        <v>0.72</v>
      </c>
    </row>
    <row r="96">
      <c r="A96" s="25">
        <v>43866.0</v>
      </c>
      <c r="B96" s="5" t="s">
        <v>30</v>
      </c>
      <c r="C96" s="5">
        <v>81.0</v>
      </c>
      <c r="D96" s="5">
        <v>0.392</v>
      </c>
      <c r="E96" s="26">
        <v>136568.0</v>
      </c>
      <c r="F96" s="27">
        <v>0.28</v>
      </c>
      <c r="G96" s="26">
        <v>348682.0</v>
      </c>
      <c r="H96" s="27">
        <v>0.72</v>
      </c>
    </row>
    <row r="97">
      <c r="A97" s="25">
        <v>43866.0</v>
      </c>
      <c r="B97" s="5" t="s">
        <v>30</v>
      </c>
      <c r="C97" s="5">
        <v>81.0</v>
      </c>
      <c r="D97" s="5">
        <v>0.392</v>
      </c>
      <c r="E97" s="26">
        <v>136568.0</v>
      </c>
      <c r="F97" s="27">
        <v>0.28</v>
      </c>
      <c r="G97" s="26">
        <v>348682.0</v>
      </c>
      <c r="H97" s="27">
        <v>0.72</v>
      </c>
    </row>
    <row r="98">
      <c r="A98" s="25">
        <v>43866.0</v>
      </c>
      <c r="B98" s="5" t="s">
        <v>30</v>
      </c>
      <c r="C98" s="5">
        <v>81.0</v>
      </c>
      <c r="D98" s="5">
        <v>0.392</v>
      </c>
      <c r="E98" s="26">
        <v>136568.0</v>
      </c>
      <c r="F98" s="27">
        <v>0.28</v>
      </c>
      <c r="G98" s="26">
        <v>348682.0</v>
      </c>
      <c r="H98" s="27">
        <v>0.72</v>
      </c>
    </row>
    <row r="99">
      <c r="A99" s="25">
        <v>43866.0</v>
      </c>
      <c r="B99" s="5" t="s">
        <v>30</v>
      </c>
      <c r="C99" s="5">
        <v>81.0</v>
      </c>
      <c r="D99" s="5">
        <v>0.392</v>
      </c>
      <c r="E99" s="26">
        <v>136568.0</v>
      </c>
      <c r="F99" s="27">
        <v>0.28</v>
      </c>
      <c r="G99" s="26">
        <v>348682.0</v>
      </c>
      <c r="H99" s="27">
        <v>0.72</v>
      </c>
    </row>
    <row r="100">
      <c r="A100" s="25">
        <v>43866.0</v>
      </c>
      <c r="B100" s="5" t="s">
        <v>30</v>
      </c>
      <c r="C100" s="5">
        <v>81.0</v>
      </c>
      <c r="D100" s="5">
        <v>0.392</v>
      </c>
      <c r="E100" s="26">
        <v>136568.0</v>
      </c>
      <c r="F100" s="27">
        <v>0.28</v>
      </c>
      <c r="G100" s="26">
        <v>348682.0</v>
      </c>
      <c r="H100" s="27">
        <v>0.72</v>
      </c>
    </row>
    <row r="101">
      <c r="A101" s="25">
        <v>43866.0</v>
      </c>
      <c r="B101" s="5" t="s">
        <v>30</v>
      </c>
      <c r="C101" s="5">
        <v>81.0</v>
      </c>
      <c r="D101" s="5">
        <v>0.392</v>
      </c>
      <c r="E101" s="26">
        <v>136568.0</v>
      </c>
      <c r="F101" s="27">
        <v>0.28</v>
      </c>
      <c r="G101" s="26">
        <v>348682.0</v>
      </c>
      <c r="H101" s="27">
        <v>0.72</v>
      </c>
    </row>
    <row r="102">
      <c r="A102" s="25">
        <v>43866.0</v>
      </c>
      <c r="B102" s="5" t="s">
        <v>30</v>
      </c>
      <c r="C102" s="5">
        <v>81.0</v>
      </c>
      <c r="D102" s="5">
        <v>0.392</v>
      </c>
      <c r="E102" s="26">
        <v>136568.0</v>
      </c>
      <c r="F102" s="27">
        <v>0.28</v>
      </c>
      <c r="G102" s="26">
        <v>348682.0</v>
      </c>
      <c r="H102" s="27">
        <v>0.72</v>
      </c>
    </row>
    <row r="103">
      <c r="A103" s="25">
        <v>43866.0</v>
      </c>
      <c r="B103" s="5" t="s">
        <v>30</v>
      </c>
      <c r="C103" s="5">
        <v>81.0</v>
      </c>
      <c r="D103" s="5">
        <v>0.392</v>
      </c>
      <c r="E103" s="26">
        <v>136568.0</v>
      </c>
      <c r="F103" s="27">
        <v>0.28</v>
      </c>
      <c r="G103" s="26">
        <v>348682.0</v>
      </c>
      <c r="H103" s="27">
        <v>0.72</v>
      </c>
    </row>
    <row r="104">
      <c r="A104" s="25">
        <v>43866.0</v>
      </c>
      <c r="B104" s="5" t="s">
        <v>30</v>
      </c>
      <c r="C104" s="5">
        <v>81.0</v>
      </c>
      <c r="D104" s="5">
        <v>0.392</v>
      </c>
      <c r="E104" s="26">
        <v>136568.0</v>
      </c>
      <c r="F104" s="27">
        <v>0.28</v>
      </c>
      <c r="G104" s="26">
        <v>348682.0</v>
      </c>
      <c r="H104" s="27">
        <v>0.72</v>
      </c>
    </row>
    <row r="105">
      <c r="A105" s="25">
        <v>43866.0</v>
      </c>
      <c r="B105" s="5" t="s">
        <v>30</v>
      </c>
      <c r="C105" s="5">
        <v>81.0</v>
      </c>
      <c r="D105" s="5">
        <v>0.392</v>
      </c>
      <c r="E105" s="26">
        <v>136568.0</v>
      </c>
      <c r="F105" s="27">
        <v>0.28</v>
      </c>
      <c r="G105" s="26">
        <v>348682.0</v>
      </c>
      <c r="H105" s="27">
        <v>0.72</v>
      </c>
    </row>
    <row r="106">
      <c r="A106" s="25">
        <v>43866.0</v>
      </c>
      <c r="B106" s="5" t="s">
        <v>30</v>
      </c>
      <c r="C106" s="5">
        <v>81.0</v>
      </c>
      <c r="D106" s="5">
        <v>0.392</v>
      </c>
      <c r="E106" s="26">
        <v>136568.0</v>
      </c>
      <c r="F106" s="27">
        <v>0.28</v>
      </c>
      <c r="G106" s="26">
        <v>348682.0</v>
      </c>
      <c r="H106" s="27">
        <v>0.72</v>
      </c>
    </row>
    <row r="107">
      <c r="A107" s="25">
        <v>43866.0</v>
      </c>
      <c r="B107" s="5" t="s">
        <v>30</v>
      </c>
      <c r="C107" s="5">
        <v>81.0</v>
      </c>
      <c r="D107" s="5">
        <v>0.392</v>
      </c>
      <c r="E107" s="26">
        <v>136568.0</v>
      </c>
      <c r="F107" s="27">
        <v>0.28</v>
      </c>
      <c r="G107" s="26">
        <v>348682.0</v>
      </c>
      <c r="H107" s="27">
        <v>0.72</v>
      </c>
    </row>
    <row r="108">
      <c r="A108" s="25">
        <v>43866.0</v>
      </c>
      <c r="B108" s="5" t="s">
        <v>30</v>
      </c>
      <c r="C108" s="5">
        <v>81.0</v>
      </c>
      <c r="D108" s="5">
        <v>0.392</v>
      </c>
      <c r="E108" s="26">
        <v>136568.0</v>
      </c>
      <c r="F108" s="27">
        <v>0.28</v>
      </c>
      <c r="G108" s="26">
        <v>348682.0</v>
      </c>
      <c r="H108" s="27">
        <v>0.72</v>
      </c>
    </row>
    <row r="109">
      <c r="A109" s="25">
        <v>43866.0</v>
      </c>
      <c r="B109" s="5" t="s">
        <v>30</v>
      </c>
      <c r="C109" s="5">
        <v>81.0</v>
      </c>
      <c r="D109" s="5">
        <v>0.392</v>
      </c>
      <c r="E109" s="26">
        <v>136568.0</v>
      </c>
      <c r="F109" s="27">
        <v>0.28</v>
      </c>
      <c r="G109" s="26">
        <v>348682.0</v>
      </c>
      <c r="H109" s="27">
        <v>0.72</v>
      </c>
    </row>
    <row r="110">
      <c r="A110" s="25">
        <v>43866.0</v>
      </c>
      <c r="B110" s="5" t="s">
        <v>30</v>
      </c>
      <c r="C110" s="5">
        <v>81.0</v>
      </c>
      <c r="D110" s="5">
        <v>0.392</v>
      </c>
      <c r="E110" s="26">
        <v>136568.0</v>
      </c>
      <c r="F110" s="27">
        <v>0.28</v>
      </c>
      <c r="G110" s="26">
        <v>348682.0</v>
      </c>
      <c r="H110" s="27">
        <v>0.72</v>
      </c>
    </row>
    <row r="111">
      <c r="A111" s="25">
        <v>43866.0</v>
      </c>
      <c r="B111" s="5" t="s">
        <v>30</v>
      </c>
      <c r="C111" s="5">
        <v>81.0</v>
      </c>
      <c r="D111" s="5">
        <v>0.392</v>
      </c>
      <c r="E111" s="26">
        <v>136568.0</v>
      </c>
      <c r="F111" s="27">
        <v>0.28</v>
      </c>
      <c r="G111" s="26">
        <v>348682.0</v>
      </c>
      <c r="H111" s="27">
        <v>0.72</v>
      </c>
    </row>
    <row r="112">
      <c r="A112" s="25">
        <v>43866.0</v>
      </c>
      <c r="B112" s="5" t="s">
        <v>30</v>
      </c>
      <c r="C112" s="5">
        <v>81.0</v>
      </c>
      <c r="D112" s="5">
        <v>0.392</v>
      </c>
      <c r="E112" s="26">
        <v>136568.0</v>
      </c>
      <c r="F112" s="27">
        <v>0.28</v>
      </c>
      <c r="G112" s="26">
        <v>348682.0</v>
      </c>
      <c r="H112" s="27">
        <v>0.72</v>
      </c>
    </row>
    <row r="113">
      <c r="A113" s="25">
        <v>43866.0</v>
      </c>
      <c r="B113" s="5" t="s">
        <v>30</v>
      </c>
      <c r="C113" s="5">
        <v>81.0</v>
      </c>
      <c r="D113" s="5">
        <v>0.392</v>
      </c>
      <c r="E113" s="26">
        <v>136568.0</v>
      </c>
      <c r="F113" s="27">
        <v>0.28</v>
      </c>
      <c r="G113" s="26">
        <v>348682.0</v>
      </c>
      <c r="H113" s="27">
        <v>0.72</v>
      </c>
    </row>
    <row r="114">
      <c r="A114" s="25">
        <v>43866.0</v>
      </c>
      <c r="B114" s="5" t="s">
        <v>30</v>
      </c>
      <c r="C114" s="5">
        <v>81.0</v>
      </c>
      <c r="D114" s="5">
        <v>0.392</v>
      </c>
      <c r="E114" s="26">
        <v>136568.0</v>
      </c>
      <c r="F114" s="27">
        <v>0.28</v>
      </c>
      <c r="G114" s="26">
        <v>348682.0</v>
      </c>
      <c r="H114" s="27">
        <v>0.72</v>
      </c>
    </row>
    <row r="115">
      <c r="A115" s="25">
        <v>43866.0</v>
      </c>
      <c r="B115" s="5" t="s">
        <v>30</v>
      </c>
      <c r="C115" s="5">
        <v>81.0</v>
      </c>
      <c r="D115" s="5">
        <v>0.392</v>
      </c>
      <c r="E115" s="26">
        <v>136568.0</v>
      </c>
      <c r="F115" s="27">
        <v>0.28</v>
      </c>
      <c r="G115" s="26">
        <v>348682.0</v>
      </c>
      <c r="H115" s="27">
        <v>0.72</v>
      </c>
    </row>
    <row r="116">
      <c r="A116" s="25">
        <v>43866.0</v>
      </c>
      <c r="B116" s="5" t="s">
        <v>30</v>
      </c>
      <c r="C116" s="5">
        <v>81.0</v>
      </c>
      <c r="D116" s="5">
        <v>0.392</v>
      </c>
      <c r="E116" s="26">
        <v>136568.0</v>
      </c>
      <c r="F116" s="27">
        <v>0.28</v>
      </c>
      <c r="G116" s="26">
        <v>348682.0</v>
      </c>
      <c r="H116" s="27">
        <v>0.72</v>
      </c>
    </row>
    <row r="117">
      <c r="A117" s="25">
        <v>43866.0</v>
      </c>
      <c r="B117" s="5" t="s">
        <v>30</v>
      </c>
      <c r="C117" s="5">
        <v>81.0</v>
      </c>
      <c r="D117" s="5">
        <v>0.392</v>
      </c>
      <c r="E117" s="26">
        <v>136568.0</v>
      </c>
      <c r="F117" s="27">
        <v>0.28</v>
      </c>
      <c r="G117" s="26">
        <v>348682.0</v>
      </c>
      <c r="H117" s="27">
        <v>0.72</v>
      </c>
    </row>
    <row r="118">
      <c r="A118" s="25">
        <v>43866.0</v>
      </c>
      <c r="B118" s="5" t="s">
        <v>30</v>
      </c>
      <c r="C118" s="5">
        <v>81.0</v>
      </c>
      <c r="D118" s="5">
        <v>0.392</v>
      </c>
      <c r="E118" s="26">
        <v>136568.0</v>
      </c>
      <c r="F118" s="27">
        <v>0.28</v>
      </c>
      <c r="G118" s="26">
        <v>348682.0</v>
      </c>
      <c r="H118" s="27">
        <v>0.72</v>
      </c>
    </row>
    <row r="119">
      <c r="A119" s="25">
        <v>43866.0</v>
      </c>
      <c r="B119" s="5" t="s">
        <v>30</v>
      </c>
      <c r="C119" s="5">
        <v>81.0</v>
      </c>
      <c r="D119" s="5">
        <v>0.392</v>
      </c>
      <c r="E119" s="26">
        <v>136568.0</v>
      </c>
      <c r="F119" s="27">
        <v>0.28</v>
      </c>
      <c r="G119" s="26">
        <v>348682.0</v>
      </c>
      <c r="H119" s="27">
        <v>0.72</v>
      </c>
    </row>
    <row r="120">
      <c r="A120" s="25">
        <v>43866.0</v>
      </c>
      <c r="B120" s="5" t="s">
        <v>30</v>
      </c>
      <c r="C120" s="5">
        <v>81.0</v>
      </c>
      <c r="D120" s="5">
        <v>0.392</v>
      </c>
      <c r="E120" s="26">
        <v>136568.0</v>
      </c>
      <c r="F120" s="27">
        <v>0.28</v>
      </c>
      <c r="G120" s="26">
        <v>348682.0</v>
      </c>
      <c r="H120" s="27">
        <v>0.72</v>
      </c>
    </row>
    <row r="121">
      <c r="A121" s="25">
        <v>43866.0</v>
      </c>
      <c r="B121" s="5" t="s">
        <v>30</v>
      </c>
      <c r="C121" s="5">
        <v>81.0</v>
      </c>
      <c r="D121" s="5">
        <v>0.392</v>
      </c>
      <c r="E121" s="26">
        <v>136568.0</v>
      </c>
      <c r="F121" s="27">
        <v>0.28</v>
      </c>
      <c r="G121" s="26">
        <v>348682.0</v>
      </c>
      <c r="H121" s="27">
        <v>0.72</v>
      </c>
    </row>
    <row r="122">
      <c r="A122" s="25">
        <v>43866.0</v>
      </c>
      <c r="B122" s="5" t="s">
        <v>30</v>
      </c>
      <c r="C122" s="5">
        <v>81.0</v>
      </c>
      <c r="D122" s="5">
        <v>0.392</v>
      </c>
      <c r="E122" s="26">
        <v>136568.0</v>
      </c>
      <c r="F122" s="27">
        <v>0.28</v>
      </c>
      <c r="G122" s="26">
        <v>348682.0</v>
      </c>
      <c r="H122" s="27">
        <v>0.72</v>
      </c>
    </row>
    <row r="123">
      <c r="A123" s="25">
        <v>43866.0</v>
      </c>
      <c r="B123" s="5" t="s">
        <v>30</v>
      </c>
      <c r="C123" s="5">
        <v>81.0</v>
      </c>
      <c r="D123" s="5">
        <v>0.392</v>
      </c>
      <c r="E123" s="26">
        <v>136568.0</v>
      </c>
      <c r="F123" s="27">
        <v>0.28</v>
      </c>
      <c r="G123" s="26">
        <v>348682.0</v>
      </c>
      <c r="H123" s="27">
        <v>0.72</v>
      </c>
    </row>
    <row r="124">
      <c r="A124" s="25">
        <v>43866.0</v>
      </c>
      <c r="B124" s="5" t="s">
        <v>30</v>
      </c>
      <c r="C124" s="5">
        <v>81.0</v>
      </c>
      <c r="D124" s="5">
        <v>0.392</v>
      </c>
      <c r="E124" s="26">
        <v>136568.0</v>
      </c>
      <c r="F124" s="27">
        <v>0.28</v>
      </c>
      <c r="G124" s="26">
        <v>348682.0</v>
      </c>
      <c r="H124" s="27">
        <v>0.72</v>
      </c>
    </row>
    <row r="125">
      <c r="A125" s="25">
        <v>43866.0</v>
      </c>
      <c r="B125" s="5" t="s">
        <v>30</v>
      </c>
      <c r="C125" s="5">
        <v>81.0</v>
      </c>
      <c r="D125" s="5">
        <v>0.392</v>
      </c>
      <c r="E125" s="26">
        <v>136568.0</v>
      </c>
      <c r="F125" s="27">
        <v>0.28</v>
      </c>
      <c r="G125" s="26">
        <v>348682.0</v>
      </c>
      <c r="H125" s="27">
        <v>0.72</v>
      </c>
    </row>
    <row r="126">
      <c r="A126" s="25">
        <v>43866.0</v>
      </c>
      <c r="B126" s="5" t="s">
        <v>30</v>
      </c>
      <c r="C126" s="5">
        <v>81.0</v>
      </c>
      <c r="D126" s="5">
        <v>0.392</v>
      </c>
      <c r="E126" s="26">
        <v>136568.0</v>
      </c>
      <c r="F126" s="27">
        <v>0.28</v>
      </c>
      <c r="G126" s="26">
        <v>348682.0</v>
      </c>
      <c r="H126" s="27">
        <v>0.72</v>
      </c>
    </row>
    <row r="127">
      <c r="A127" s="25">
        <v>43866.0</v>
      </c>
      <c r="B127" s="5" t="s">
        <v>30</v>
      </c>
      <c r="C127" s="5">
        <v>81.0</v>
      </c>
      <c r="D127" s="5">
        <v>0.392</v>
      </c>
      <c r="E127" s="26">
        <v>136568.0</v>
      </c>
      <c r="F127" s="27">
        <v>0.28</v>
      </c>
      <c r="G127" s="26">
        <v>348682.0</v>
      </c>
      <c r="H127" s="27">
        <v>0.72</v>
      </c>
    </row>
    <row r="128">
      <c r="A128" s="25">
        <v>43866.0</v>
      </c>
      <c r="B128" s="5" t="s">
        <v>30</v>
      </c>
      <c r="C128" s="5">
        <v>81.0</v>
      </c>
      <c r="D128" s="5">
        <v>0.392</v>
      </c>
      <c r="E128" s="26">
        <v>136568.0</v>
      </c>
      <c r="F128" s="27">
        <v>0.28</v>
      </c>
      <c r="G128" s="26">
        <v>348682.0</v>
      </c>
      <c r="H128" s="27">
        <v>0.72</v>
      </c>
    </row>
    <row r="129">
      <c r="A129" s="25">
        <v>43866.0</v>
      </c>
      <c r="B129" s="5" t="s">
        <v>30</v>
      </c>
      <c r="C129" s="5">
        <v>81.0</v>
      </c>
      <c r="D129" s="5">
        <v>0.392</v>
      </c>
      <c r="E129" s="26">
        <v>136568.0</v>
      </c>
      <c r="F129" s="27">
        <v>0.28</v>
      </c>
      <c r="G129" s="26">
        <v>348682.0</v>
      </c>
      <c r="H129" s="27">
        <v>0.72</v>
      </c>
    </row>
    <row r="130">
      <c r="A130" s="25">
        <v>43866.0</v>
      </c>
      <c r="B130" s="5" t="s">
        <v>30</v>
      </c>
      <c r="C130" s="5">
        <v>81.0</v>
      </c>
      <c r="D130" s="5">
        <v>0.392</v>
      </c>
      <c r="E130" s="26">
        <v>136568.0</v>
      </c>
      <c r="F130" s="27">
        <v>0.28</v>
      </c>
      <c r="G130" s="26">
        <v>348682.0</v>
      </c>
      <c r="H130" s="27">
        <v>0.72</v>
      </c>
    </row>
    <row r="131">
      <c r="A131" s="25">
        <v>43866.0</v>
      </c>
      <c r="B131" s="5" t="s">
        <v>30</v>
      </c>
      <c r="C131" s="5">
        <v>81.0</v>
      </c>
      <c r="D131" s="5">
        <v>0.392</v>
      </c>
      <c r="E131" s="26">
        <v>136568.0</v>
      </c>
      <c r="F131" s="27">
        <v>0.28</v>
      </c>
      <c r="G131" s="26">
        <v>348682.0</v>
      </c>
      <c r="H131" s="27">
        <v>0.72</v>
      </c>
    </row>
    <row r="132">
      <c r="A132" s="25">
        <v>43866.0</v>
      </c>
      <c r="B132" s="5" t="s">
        <v>30</v>
      </c>
      <c r="C132" s="5">
        <v>81.0</v>
      </c>
      <c r="D132" s="5">
        <v>0.392</v>
      </c>
      <c r="E132" s="26">
        <v>136568.0</v>
      </c>
      <c r="F132" s="27">
        <v>0.28</v>
      </c>
      <c r="G132" s="26">
        <v>348682.0</v>
      </c>
      <c r="H132" s="27">
        <v>0.72</v>
      </c>
    </row>
    <row r="133">
      <c r="A133" s="25">
        <v>43866.0</v>
      </c>
      <c r="B133" s="5" t="s">
        <v>30</v>
      </c>
      <c r="C133" s="5">
        <v>81.0</v>
      </c>
      <c r="D133" s="5">
        <v>0.392</v>
      </c>
      <c r="E133" s="26">
        <v>136568.0</v>
      </c>
      <c r="F133" s="27">
        <v>0.28</v>
      </c>
      <c r="G133" s="26">
        <v>348682.0</v>
      </c>
      <c r="H133" s="27">
        <v>0.72</v>
      </c>
    </row>
    <row r="134">
      <c r="A134" s="25">
        <v>43866.0</v>
      </c>
      <c r="B134" s="5" t="s">
        <v>30</v>
      </c>
      <c r="C134" s="5">
        <v>81.0</v>
      </c>
      <c r="D134" s="5">
        <v>0.392</v>
      </c>
      <c r="E134" s="26">
        <v>136568.0</v>
      </c>
      <c r="F134" s="27">
        <v>0.28</v>
      </c>
      <c r="G134" s="26">
        <v>348682.0</v>
      </c>
      <c r="H134" s="27">
        <v>0.72</v>
      </c>
    </row>
    <row r="135">
      <c r="A135" s="25">
        <v>43866.0</v>
      </c>
      <c r="B135" s="5" t="s">
        <v>30</v>
      </c>
      <c r="C135" s="5">
        <v>81.0</v>
      </c>
      <c r="D135" s="5">
        <v>0.392</v>
      </c>
      <c r="E135" s="26">
        <v>136568.0</v>
      </c>
      <c r="F135" s="27">
        <v>0.28</v>
      </c>
      <c r="G135" s="26">
        <v>348682.0</v>
      </c>
      <c r="H135" s="27">
        <v>0.72</v>
      </c>
    </row>
    <row r="136">
      <c r="A136" s="25">
        <v>43866.0</v>
      </c>
      <c r="B136" s="5" t="s">
        <v>30</v>
      </c>
      <c r="C136" s="5">
        <v>81.0</v>
      </c>
      <c r="D136" s="5">
        <v>0.392</v>
      </c>
      <c r="E136" s="26">
        <v>136568.0</v>
      </c>
      <c r="F136" s="27">
        <v>0.28</v>
      </c>
      <c r="G136" s="26">
        <v>348682.0</v>
      </c>
      <c r="H136" s="27">
        <v>0.72</v>
      </c>
    </row>
    <row r="137">
      <c r="A137" s="25">
        <v>43866.0</v>
      </c>
      <c r="B137" s="5" t="s">
        <v>30</v>
      </c>
      <c r="C137" s="5">
        <v>81.0</v>
      </c>
      <c r="D137" s="5">
        <v>0.392</v>
      </c>
      <c r="E137" s="26">
        <v>136568.0</v>
      </c>
      <c r="F137" s="27">
        <v>0.28</v>
      </c>
      <c r="G137" s="26">
        <v>348682.0</v>
      </c>
      <c r="H137" s="27">
        <v>0.72</v>
      </c>
    </row>
    <row r="138">
      <c r="A138" s="25">
        <v>43866.0</v>
      </c>
      <c r="B138" s="5" t="s">
        <v>30</v>
      </c>
      <c r="C138" s="5">
        <v>81.0</v>
      </c>
      <c r="D138" s="5">
        <v>0.392</v>
      </c>
      <c r="E138" s="26">
        <v>136568.0</v>
      </c>
      <c r="F138" s="27">
        <v>0.28</v>
      </c>
      <c r="G138" s="26">
        <v>348682.0</v>
      </c>
      <c r="H138" s="27">
        <v>0.72</v>
      </c>
    </row>
    <row r="139">
      <c r="A139" s="25">
        <v>43866.0</v>
      </c>
      <c r="B139" s="5" t="s">
        <v>30</v>
      </c>
      <c r="C139" s="5">
        <v>81.0</v>
      </c>
      <c r="D139" s="5">
        <v>0.392</v>
      </c>
      <c r="E139" s="26">
        <v>136568.0</v>
      </c>
      <c r="F139" s="27">
        <v>0.28</v>
      </c>
      <c r="G139" s="26">
        <v>348682.0</v>
      </c>
      <c r="H139" s="27">
        <v>0.72</v>
      </c>
    </row>
    <row r="140">
      <c r="A140" s="25">
        <v>43866.0</v>
      </c>
      <c r="B140" s="5" t="s">
        <v>30</v>
      </c>
      <c r="C140" s="5">
        <v>81.0</v>
      </c>
      <c r="D140" s="5">
        <v>0.392</v>
      </c>
      <c r="E140" s="26">
        <v>136568.0</v>
      </c>
      <c r="F140" s="27">
        <v>0.28</v>
      </c>
      <c r="G140" s="26">
        <v>348682.0</v>
      </c>
      <c r="H140" s="27">
        <v>0.72</v>
      </c>
    </row>
    <row r="141">
      <c r="A141" s="25">
        <v>43866.0</v>
      </c>
      <c r="B141" s="5" t="s">
        <v>30</v>
      </c>
      <c r="C141" s="5">
        <v>81.0</v>
      </c>
      <c r="D141" s="5">
        <v>0.392</v>
      </c>
      <c r="E141" s="26">
        <v>136568.0</v>
      </c>
      <c r="F141" s="27">
        <v>0.28</v>
      </c>
      <c r="G141" s="26">
        <v>348682.0</v>
      </c>
      <c r="H141" s="27">
        <v>0.72</v>
      </c>
    </row>
    <row r="142">
      <c r="A142" s="25">
        <v>43866.0</v>
      </c>
      <c r="B142" s="5" t="s">
        <v>30</v>
      </c>
      <c r="C142" s="5">
        <v>81.0</v>
      </c>
      <c r="D142" s="5">
        <v>0.392</v>
      </c>
      <c r="E142" s="26">
        <v>136568.0</v>
      </c>
      <c r="F142" s="27">
        <v>0.28</v>
      </c>
      <c r="G142" s="26">
        <v>348682.0</v>
      </c>
      <c r="H142" s="27">
        <v>0.72</v>
      </c>
    </row>
    <row r="143">
      <c r="A143" s="25">
        <v>43866.0</v>
      </c>
      <c r="B143" s="5" t="s">
        <v>30</v>
      </c>
      <c r="C143" s="5">
        <v>81.0</v>
      </c>
      <c r="D143" s="5">
        <v>0.392</v>
      </c>
      <c r="E143" s="26">
        <v>136568.0</v>
      </c>
      <c r="F143" s="27">
        <v>0.28</v>
      </c>
      <c r="G143" s="26">
        <v>348682.0</v>
      </c>
      <c r="H143" s="27">
        <v>0.72</v>
      </c>
    </row>
    <row r="144">
      <c r="A144" s="25">
        <v>43866.0</v>
      </c>
      <c r="B144" s="5" t="s">
        <v>30</v>
      </c>
      <c r="C144" s="5">
        <v>81.0</v>
      </c>
      <c r="D144" s="5">
        <v>0.392</v>
      </c>
      <c r="E144" s="26">
        <v>136568.0</v>
      </c>
      <c r="F144" s="27">
        <v>0.28</v>
      </c>
      <c r="G144" s="26">
        <v>348682.0</v>
      </c>
      <c r="H144" s="27">
        <v>0.72</v>
      </c>
    </row>
    <row r="145">
      <c r="A145" s="25">
        <v>43866.0</v>
      </c>
      <c r="B145" s="5" t="s">
        <v>30</v>
      </c>
      <c r="C145" s="5">
        <v>81.0</v>
      </c>
      <c r="D145" s="5">
        <v>0.392</v>
      </c>
      <c r="E145" s="26">
        <v>136568.0</v>
      </c>
      <c r="F145" s="27">
        <v>0.28</v>
      </c>
      <c r="G145" s="26">
        <v>348682.0</v>
      </c>
      <c r="H145" s="27">
        <v>0.72</v>
      </c>
    </row>
    <row r="146">
      <c r="A146" s="31">
        <v>43866.0</v>
      </c>
      <c r="B146" s="5" t="s">
        <v>30</v>
      </c>
      <c r="C146" s="5">
        <v>81.0</v>
      </c>
      <c r="D146" s="5">
        <v>0.392</v>
      </c>
      <c r="E146" s="26">
        <v>136568.0</v>
      </c>
      <c r="F146" s="27">
        <v>0.28</v>
      </c>
      <c r="G146" s="26">
        <v>348682.0</v>
      </c>
      <c r="H146" s="27">
        <v>0.72</v>
      </c>
    </row>
    <row r="147">
      <c r="A147" s="25">
        <v>43866.0</v>
      </c>
      <c r="B147" s="5" t="s">
        <v>30</v>
      </c>
      <c r="C147" s="5">
        <v>81.0</v>
      </c>
      <c r="D147" s="5">
        <v>0.392</v>
      </c>
      <c r="E147" s="26">
        <v>136568.0</v>
      </c>
      <c r="F147" s="27">
        <v>0.28</v>
      </c>
      <c r="G147" s="26">
        <v>348682.0</v>
      </c>
      <c r="H147" s="27">
        <v>0.72</v>
      </c>
      <c r="I147" s="32"/>
      <c r="M147" s="26"/>
      <c r="N147" s="27"/>
      <c r="O147" s="26"/>
      <c r="P147" s="27"/>
    </row>
    <row r="148">
      <c r="A148" s="25">
        <v>43866.0</v>
      </c>
      <c r="B148" s="5" t="s">
        <v>30</v>
      </c>
      <c r="C148" s="5">
        <v>81.0</v>
      </c>
      <c r="D148" s="5">
        <v>0.392</v>
      </c>
      <c r="E148" s="26">
        <v>136568.0</v>
      </c>
      <c r="F148" s="27">
        <v>0.28</v>
      </c>
      <c r="G148" s="26">
        <v>348682.0</v>
      </c>
      <c r="H148" s="27">
        <v>0.72</v>
      </c>
    </row>
    <row r="149">
      <c r="A149" s="25">
        <v>43866.0</v>
      </c>
      <c r="B149" s="5" t="s">
        <v>30</v>
      </c>
      <c r="C149" s="5">
        <v>81.0</v>
      </c>
      <c r="D149" s="5">
        <v>0.392</v>
      </c>
      <c r="E149" s="26">
        <v>136568.0</v>
      </c>
      <c r="F149" s="27">
        <v>0.28</v>
      </c>
      <c r="G149" s="26">
        <v>348682.0</v>
      </c>
      <c r="H149" s="27">
        <v>0.72</v>
      </c>
    </row>
    <row r="150">
      <c r="A150" s="25">
        <v>43866.0</v>
      </c>
      <c r="B150" s="5" t="s">
        <v>30</v>
      </c>
      <c r="C150" s="5">
        <v>81.0</v>
      </c>
      <c r="D150" s="5">
        <v>0.392</v>
      </c>
      <c r="E150" s="26">
        <v>136568.0</v>
      </c>
      <c r="F150" s="27">
        <v>0.28</v>
      </c>
      <c r="G150" s="26">
        <v>348682.0</v>
      </c>
      <c r="H150" s="27">
        <v>0.72</v>
      </c>
    </row>
    <row r="151">
      <c r="A151" s="25">
        <v>43866.0</v>
      </c>
      <c r="B151" s="5" t="s">
        <v>30</v>
      </c>
      <c r="C151" s="5">
        <v>81.0</v>
      </c>
      <c r="D151" s="5">
        <v>0.392</v>
      </c>
      <c r="E151" s="26">
        <v>136568.0</v>
      </c>
      <c r="F151" s="27">
        <v>0.28</v>
      </c>
      <c r="G151" s="26">
        <v>348682.0</v>
      </c>
      <c r="H151" s="27">
        <v>0.72</v>
      </c>
    </row>
    <row r="152">
      <c r="A152" s="25">
        <v>43866.0</v>
      </c>
      <c r="B152" s="5" t="s">
        <v>30</v>
      </c>
      <c r="C152" s="5">
        <v>81.0</v>
      </c>
      <c r="D152" s="5">
        <v>0.392</v>
      </c>
      <c r="E152" s="26">
        <v>136568.0</v>
      </c>
      <c r="F152" s="27">
        <v>0.28</v>
      </c>
      <c r="G152" s="26">
        <v>348682.0</v>
      </c>
      <c r="H152" s="27">
        <v>0.72</v>
      </c>
    </row>
    <row r="153">
      <c r="A153" s="25">
        <v>43866.0</v>
      </c>
      <c r="B153" s="5" t="s">
        <v>30</v>
      </c>
      <c r="C153" s="5">
        <v>81.0</v>
      </c>
      <c r="D153" s="5">
        <v>0.392</v>
      </c>
      <c r="E153" s="26">
        <v>136568.0</v>
      </c>
      <c r="F153" s="27">
        <v>0.28</v>
      </c>
      <c r="G153" s="26">
        <v>348682.0</v>
      </c>
      <c r="H153" s="27">
        <v>0.72</v>
      </c>
    </row>
    <row r="154">
      <c r="A154" s="25">
        <v>43866.0</v>
      </c>
      <c r="B154" s="5" t="s">
        <v>30</v>
      </c>
      <c r="C154" s="5">
        <v>81.0</v>
      </c>
      <c r="D154" s="5">
        <v>0.392</v>
      </c>
      <c r="E154" s="26">
        <v>136568.0</v>
      </c>
      <c r="F154" s="27">
        <v>0.28</v>
      </c>
      <c r="G154" s="26">
        <v>348682.0</v>
      </c>
      <c r="H154" s="27">
        <v>0.72</v>
      </c>
    </row>
    <row r="155">
      <c r="A155" s="25">
        <v>43866.0</v>
      </c>
      <c r="B155" s="5" t="s">
        <v>30</v>
      </c>
      <c r="C155" s="5">
        <v>81.0</v>
      </c>
      <c r="D155" s="5">
        <v>0.392</v>
      </c>
      <c r="E155" s="26">
        <v>136568.0</v>
      </c>
      <c r="F155" s="27">
        <v>0.28</v>
      </c>
      <c r="G155" s="26">
        <v>348682.0</v>
      </c>
      <c r="H155" s="27">
        <v>0.72</v>
      </c>
    </row>
    <row r="156">
      <c r="A156" s="25">
        <v>43866.0</v>
      </c>
      <c r="B156" s="5" t="s">
        <v>30</v>
      </c>
      <c r="C156" s="5">
        <v>81.0</v>
      </c>
      <c r="D156" s="5">
        <v>0.392</v>
      </c>
      <c r="E156" s="26">
        <v>136568.0</v>
      </c>
      <c r="F156" s="27">
        <v>0.28</v>
      </c>
      <c r="G156" s="26">
        <v>348682.0</v>
      </c>
      <c r="H156" s="27">
        <v>0.72</v>
      </c>
    </row>
    <row r="157">
      <c r="A157" s="25">
        <v>43866.0</v>
      </c>
      <c r="B157" s="5" t="s">
        <v>30</v>
      </c>
      <c r="C157" s="5">
        <v>81.0</v>
      </c>
      <c r="D157" s="5">
        <v>0.392</v>
      </c>
      <c r="E157" s="26">
        <v>136568.0</v>
      </c>
      <c r="F157" s="27">
        <v>0.28</v>
      </c>
      <c r="G157" s="26">
        <v>348682.0</v>
      </c>
      <c r="H157" s="27">
        <v>0.72</v>
      </c>
    </row>
    <row r="158">
      <c r="A158" s="25">
        <v>43866.0</v>
      </c>
      <c r="B158" s="5" t="s">
        <v>30</v>
      </c>
      <c r="C158" s="5">
        <v>81.0</v>
      </c>
      <c r="D158" s="5">
        <v>0.392</v>
      </c>
      <c r="E158" s="26">
        <v>136568.0</v>
      </c>
      <c r="F158" s="27">
        <v>0.28</v>
      </c>
      <c r="G158" s="26">
        <v>348682.0</v>
      </c>
      <c r="H158" s="27">
        <v>0.72</v>
      </c>
    </row>
    <row r="159">
      <c r="A159" s="25">
        <v>43866.0</v>
      </c>
      <c r="B159" s="5" t="s">
        <v>30</v>
      </c>
      <c r="C159" s="5">
        <v>81.0</v>
      </c>
      <c r="D159" s="5">
        <v>0.392</v>
      </c>
      <c r="E159" s="26">
        <v>136568.0</v>
      </c>
      <c r="F159" s="27">
        <v>0.28</v>
      </c>
      <c r="G159" s="26">
        <v>348682.0</v>
      </c>
      <c r="H159" s="27">
        <v>0.72</v>
      </c>
    </row>
    <row r="160">
      <c r="A160" s="25">
        <v>43866.0</v>
      </c>
      <c r="B160" s="5" t="s">
        <v>30</v>
      </c>
      <c r="C160" s="5">
        <v>81.0</v>
      </c>
      <c r="D160" s="5">
        <v>0.392</v>
      </c>
      <c r="E160" s="26">
        <v>136568.0</v>
      </c>
      <c r="F160" s="27">
        <v>0.28</v>
      </c>
      <c r="G160" s="26">
        <v>348682.0</v>
      </c>
      <c r="H160" s="27">
        <v>0.72</v>
      </c>
    </row>
    <row r="161">
      <c r="A161" s="25">
        <v>43866.0</v>
      </c>
      <c r="B161" s="5" t="s">
        <v>30</v>
      </c>
      <c r="C161" s="5">
        <v>81.0</v>
      </c>
      <c r="D161" s="5">
        <v>0.392</v>
      </c>
      <c r="E161" s="26">
        <v>136568.0</v>
      </c>
      <c r="F161" s="27">
        <v>0.28</v>
      </c>
      <c r="G161" s="26">
        <v>348682.0</v>
      </c>
      <c r="H161" s="27">
        <v>0.72</v>
      </c>
    </row>
    <row r="162">
      <c r="A162" s="25">
        <v>43866.0</v>
      </c>
      <c r="B162" s="5" t="s">
        <v>30</v>
      </c>
      <c r="C162" s="5">
        <v>81.0</v>
      </c>
      <c r="D162" s="5">
        <v>0.392</v>
      </c>
      <c r="E162" s="26">
        <v>136568.0</v>
      </c>
      <c r="F162" s="27">
        <v>0.28</v>
      </c>
      <c r="G162" s="26">
        <v>348682.0</v>
      </c>
      <c r="H162" s="27">
        <v>0.72</v>
      </c>
    </row>
    <row r="163">
      <c r="A163" s="25">
        <v>43866.0</v>
      </c>
      <c r="B163" s="5" t="s">
        <v>30</v>
      </c>
      <c r="C163" s="5">
        <v>81.0</v>
      </c>
      <c r="D163" s="5">
        <v>0.392</v>
      </c>
      <c r="E163" s="26">
        <v>136568.0</v>
      </c>
      <c r="F163" s="27">
        <v>0.28</v>
      </c>
      <c r="G163" s="26">
        <v>348682.0</v>
      </c>
      <c r="H163" s="27">
        <v>0.72</v>
      </c>
    </row>
    <row r="164">
      <c r="A164" s="25">
        <v>43866.0</v>
      </c>
      <c r="B164" s="5" t="s">
        <v>30</v>
      </c>
      <c r="C164" s="5">
        <v>81.0</v>
      </c>
      <c r="D164" s="5">
        <v>0.392</v>
      </c>
      <c r="E164" s="26">
        <v>136568.0</v>
      </c>
      <c r="F164" s="27">
        <v>0.28</v>
      </c>
      <c r="G164" s="26">
        <v>348682.0</v>
      </c>
      <c r="H164" s="27">
        <v>0.72</v>
      </c>
    </row>
    <row r="165">
      <c r="A165" s="25">
        <v>43866.0</v>
      </c>
      <c r="B165" s="5" t="s">
        <v>30</v>
      </c>
      <c r="C165" s="5">
        <v>81.0</v>
      </c>
      <c r="D165" s="5">
        <v>0.392</v>
      </c>
      <c r="E165" s="26">
        <v>136568.0</v>
      </c>
      <c r="F165" s="27">
        <v>0.28</v>
      </c>
      <c r="G165" s="26">
        <v>348682.0</v>
      </c>
      <c r="H165" s="27">
        <v>0.72</v>
      </c>
    </row>
    <row r="166">
      <c r="A166" s="25">
        <v>43866.0</v>
      </c>
      <c r="B166" s="5" t="s">
        <v>30</v>
      </c>
      <c r="C166" s="5">
        <v>81.0</v>
      </c>
      <c r="D166" s="5">
        <v>0.392</v>
      </c>
      <c r="E166" s="26">
        <v>136568.0</v>
      </c>
      <c r="F166" s="27">
        <v>0.28</v>
      </c>
      <c r="G166" s="26">
        <v>348682.0</v>
      </c>
      <c r="H166" s="27">
        <v>0.72</v>
      </c>
    </row>
    <row r="167">
      <c r="A167" s="25">
        <v>43866.0</v>
      </c>
      <c r="B167" s="5" t="s">
        <v>30</v>
      </c>
      <c r="C167" s="5">
        <v>81.0</v>
      </c>
      <c r="D167" s="5">
        <v>0.392</v>
      </c>
      <c r="E167" s="26">
        <v>136568.0</v>
      </c>
      <c r="F167" s="27">
        <v>0.28</v>
      </c>
      <c r="G167" s="26">
        <v>348682.0</v>
      </c>
      <c r="H167" s="27">
        <v>0.72</v>
      </c>
    </row>
    <row r="168">
      <c r="A168" s="25">
        <v>43866.0</v>
      </c>
      <c r="B168" s="5" t="s">
        <v>30</v>
      </c>
      <c r="C168" s="5">
        <v>81.0</v>
      </c>
      <c r="D168" s="5">
        <v>0.392</v>
      </c>
      <c r="E168" s="26">
        <v>136568.0</v>
      </c>
      <c r="F168" s="27">
        <v>0.28</v>
      </c>
      <c r="G168" s="26">
        <v>348682.0</v>
      </c>
      <c r="H168" s="27">
        <v>0.72</v>
      </c>
    </row>
    <row r="169">
      <c r="A169" s="25">
        <v>43866.0</v>
      </c>
      <c r="B169" s="5" t="s">
        <v>30</v>
      </c>
      <c r="C169" s="5">
        <v>81.0</v>
      </c>
      <c r="D169" s="5">
        <v>0.392</v>
      </c>
      <c r="E169" s="26">
        <v>136568.0</v>
      </c>
      <c r="F169" s="27">
        <v>0.28</v>
      </c>
      <c r="G169" s="26">
        <v>348682.0</v>
      </c>
      <c r="H169" s="27">
        <v>0.72</v>
      </c>
    </row>
    <row r="170">
      <c r="A170" s="25">
        <v>43866.0</v>
      </c>
      <c r="B170" s="5" t="s">
        <v>30</v>
      </c>
      <c r="C170" s="5">
        <v>81.0</v>
      </c>
      <c r="D170" s="5">
        <v>0.392</v>
      </c>
      <c r="E170" s="26">
        <v>136568.0</v>
      </c>
      <c r="F170" s="27">
        <v>0.28</v>
      </c>
      <c r="G170" s="26">
        <v>348682.0</v>
      </c>
      <c r="H170" s="27">
        <v>0.72</v>
      </c>
    </row>
    <row r="171">
      <c r="A171" s="25">
        <v>43866.0</v>
      </c>
      <c r="B171" s="5" t="s">
        <v>30</v>
      </c>
      <c r="C171" s="5">
        <v>81.0</v>
      </c>
      <c r="D171" s="5">
        <v>0.392</v>
      </c>
      <c r="E171" s="26">
        <v>136568.0</v>
      </c>
      <c r="F171" s="27">
        <v>0.28</v>
      </c>
      <c r="G171" s="26">
        <v>348682.0</v>
      </c>
      <c r="H171" s="27">
        <v>0.72</v>
      </c>
    </row>
    <row r="172">
      <c r="A172" s="25">
        <v>43866.0</v>
      </c>
      <c r="B172" s="5" t="s">
        <v>30</v>
      </c>
      <c r="C172" s="5">
        <v>81.0</v>
      </c>
      <c r="D172" s="5">
        <v>0.392</v>
      </c>
      <c r="E172" s="26">
        <v>136568.0</v>
      </c>
      <c r="F172" s="27">
        <v>0.28</v>
      </c>
      <c r="G172" s="26">
        <v>348682.0</v>
      </c>
      <c r="H172" s="27">
        <v>0.72</v>
      </c>
    </row>
    <row r="173">
      <c r="A173" s="25">
        <v>43866.0</v>
      </c>
      <c r="B173" s="5" t="s">
        <v>30</v>
      </c>
      <c r="C173" s="5">
        <v>81.0</v>
      </c>
      <c r="D173" s="5">
        <v>0.392</v>
      </c>
      <c r="E173" s="26">
        <v>136568.0</v>
      </c>
      <c r="F173" s="27">
        <v>0.28</v>
      </c>
      <c r="G173" s="26">
        <v>348682.0</v>
      </c>
      <c r="H173" s="27">
        <v>0.72</v>
      </c>
    </row>
    <row r="174">
      <c r="A174" s="25">
        <v>43866.0</v>
      </c>
      <c r="B174" s="5" t="s">
        <v>30</v>
      </c>
      <c r="C174" s="5">
        <v>81.0</v>
      </c>
      <c r="D174" s="5">
        <v>0.392</v>
      </c>
      <c r="E174" s="26">
        <v>136568.0</v>
      </c>
      <c r="F174" s="27">
        <v>0.28</v>
      </c>
      <c r="G174" s="26">
        <v>348682.0</v>
      </c>
      <c r="H174" s="27">
        <v>0.72</v>
      </c>
    </row>
    <row r="175">
      <c r="A175" s="25">
        <v>43866.0</v>
      </c>
      <c r="B175" s="5" t="s">
        <v>30</v>
      </c>
      <c r="C175" s="5">
        <v>81.0</v>
      </c>
      <c r="D175" s="5">
        <v>0.392</v>
      </c>
      <c r="E175" s="26">
        <v>136568.0</v>
      </c>
      <c r="F175" s="27">
        <v>0.28</v>
      </c>
      <c r="G175" s="26">
        <v>348682.0</v>
      </c>
      <c r="H175" s="27">
        <v>0.72</v>
      </c>
    </row>
    <row r="176">
      <c r="A176" s="25">
        <v>43866.0</v>
      </c>
      <c r="B176" s="5" t="s">
        <v>30</v>
      </c>
      <c r="C176" s="5">
        <v>81.0</v>
      </c>
      <c r="D176" s="5">
        <v>0.392</v>
      </c>
      <c r="E176" s="26">
        <v>136568.0</v>
      </c>
      <c r="F176" s="27">
        <v>0.28</v>
      </c>
      <c r="G176" s="26">
        <v>348682.0</v>
      </c>
      <c r="H176" s="27">
        <v>0.72</v>
      </c>
    </row>
    <row r="177">
      <c r="A177" s="25">
        <v>43866.0</v>
      </c>
      <c r="B177" s="5" t="s">
        <v>30</v>
      </c>
      <c r="C177" s="5">
        <v>81.0</v>
      </c>
      <c r="D177" s="5">
        <v>0.392</v>
      </c>
      <c r="E177" s="26">
        <v>136568.0</v>
      </c>
      <c r="F177" s="27">
        <v>0.28</v>
      </c>
      <c r="G177" s="26">
        <v>348682.0</v>
      </c>
      <c r="H177" s="27">
        <v>0.72</v>
      </c>
    </row>
    <row r="178">
      <c r="A178" s="25">
        <v>43866.0</v>
      </c>
      <c r="B178" s="5" t="s">
        <v>30</v>
      </c>
      <c r="C178" s="5">
        <v>81.0</v>
      </c>
      <c r="D178" s="5">
        <v>0.392</v>
      </c>
      <c r="E178" s="26">
        <v>136568.0</v>
      </c>
      <c r="F178" s="27">
        <v>0.28</v>
      </c>
      <c r="G178" s="26">
        <v>348682.0</v>
      </c>
      <c r="H178" s="27">
        <v>0.72</v>
      </c>
    </row>
    <row r="179">
      <c r="A179" s="25">
        <v>43866.0</v>
      </c>
      <c r="B179" s="5" t="s">
        <v>30</v>
      </c>
      <c r="C179" s="5">
        <v>81.0</v>
      </c>
      <c r="D179" s="5">
        <v>0.392</v>
      </c>
      <c r="E179" s="26">
        <v>136568.0</v>
      </c>
      <c r="F179" s="27">
        <v>0.28</v>
      </c>
      <c r="G179" s="26">
        <v>348682.0</v>
      </c>
      <c r="H179" s="27">
        <v>0.72</v>
      </c>
    </row>
    <row r="180">
      <c r="A180" s="25">
        <v>43866.0</v>
      </c>
      <c r="B180" s="5" t="s">
        <v>30</v>
      </c>
      <c r="C180" s="5">
        <v>81.0</v>
      </c>
      <c r="D180" s="5">
        <v>0.392</v>
      </c>
      <c r="E180" s="26">
        <v>136568.0</v>
      </c>
      <c r="F180" s="27">
        <v>0.28</v>
      </c>
      <c r="G180" s="26">
        <v>348682.0</v>
      </c>
      <c r="H180" s="27">
        <v>0.72</v>
      </c>
    </row>
    <row r="181">
      <c r="A181" s="25">
        <v>43866.0</v>
      </c>
      <c r="B181" s="5" t="s">
        <v>30</v>
      </c>
      <c r="C181" s="5">
        <v>81.0</v>
      </c>
      <c r="D181" s="5">
        <v>0.392</v>
      </c>
      <c r="E181" s="26">
        <v>136568.0</v>
      </c>
      <c r="F181" s="27">
        <v>0.28</v>
      </c>
      <c r="G181" s="26">
        <v>348682.0</v>
      </c>
      <c r="H181" s="27">
        <v>0.72</v>
      </c>
    </row>
    <row r="182">
      <c r="A182" s="25"/>
      <c r="B182" s="5"/>
      <c r="C182" s="5"/>
      <c r="D182" s="5"/>
      <c r="E182" s="26"/>
      <c r="F182" s="27"/>
      <c r="G182" s="26"/>
      <c r="H182" s="27"/>
    </row>
    <row r="183">
      <c r="A183" s="25"/>
      <c r="B183" s="5"/>
      <c r="C183" s="5"/>
      <c r="D183" s="5"/>
      <c r="E183" s="26"/>
      <c r="F183" s="27"/>
      <c r="G183" s="26"/>
      <c r="H183" s="27"/>
    </row>
    <row r="184">
      <c r="A184" s="25"/>
      <c r="B184" s="5"/>
      <c r="C184" s="5"/>
      <c r="D184" s="5"/>
      <c r="E184" s="26"/>
      <c r="F184" s="27"/>
      <c r="G184" s="26"/>
      <c r="H184" s="27"/>
    </row>
    <row r="185">
      <c r="A185" s="25"/>
      <c r="B185" s="5"/>
      <c r="C185" s="5"/>
      <c r="D185" s="5"/>
      <c r="E185" s="26"/>
      <c r="F185" s="27"/>
      <c r="G185" s="26"/>
      <c r="H185" s="27"/>
    </row>
    <row r="186">
      <c r="A186" s="25"/>
      <c r="B186" s="5"/>
      <c r="C186" s="5"/>
      <c r="D186" s="5"/>
      <c r="E186" s="26"/>
      <c r="F186" s="27"/>
      <c r="G186" s="26"/>
      <c r="H186" s="27"/>
    </row>
    <row r="187">
      <c r="A187" s="25"/>
      <c r="B187" s="5"/>
      <c r="C187" s="5"/>
      <c r="D187" s="5"/>
      <c r="E187" s="26"/>
      <c r="F187" s="27"/>
      <c r="G187" s="26"/>
      <c r="H187" s="27"/>
    </row>
    <row r="188">
      <c r="A188" s="25"/>
      <c r="B188" s="5"/>
      <c r="C188" s="5"/>
      <c r="D188" s="5"/>
      <c r="E188" s="26"/>
      <c r="F188" s="27"/>
      <c r="G188" s="26"/>
      <c r="H188" s="27"/>
    </row>
    <row r="189">
      <c r="A189" s="25"/>
      <c r="B189" s="5"/>
      <c r="C189" s="5"/>
      <c r="D189" s="5"/>
      <c r="E189" s="26"/>
      <c r="F189" s="27"/>
      <c r="G189" s="26"/>
      <c r="H189" s="27"/>
    </row>
    <row r="190">
      <c r="A190" s="25"/>
      <c r="B190" s="5"/>
      <c r="C190" s="5"/>
      <c r="D190" s="5"/>
      <c r="E190" s="26"/>
      <c r="F190" s="27"/>
      <c r="G190" s="26"/>
      <c r="H190" s="27"/>
    </row>
    <row r="191">
      <c r="A191" s="25"/>
      <c r="B191" s="5"/>
      <c r="C191" s="5"/>
      <c r="D191" s="5"/>
      <c r="E191" s="26"/>
      <c r="F191" s="27"/>
      <c r="G191" s="26"/>
      <c r="H191" s="27"/>
    </row>
    <row r="192">
      <c r="A192" s="25"/>
      <c r="B192" s="5"/>
      <c r="C192" s="5"/>
      <c r="D192" s="5"/>
      <c r="E192" s="26"/>
      <c r="F192" s="27"/>
      <c r="G192" s="26"/>
      <c r="H192" s="27"/>
    </row>
    <row r="193">
      <c r="A193" s="25"/>
      <c r="B193" s="5"/>
      <c r="C193" s="5"/>
      <c r="D193" s="5"/>
      <c r="E193" s="26"/>
      <c r="F193" s="27"/>
      <c r="G193" s="26"/>
      <c r="H193" s="27"/>
    </row>
    <row r="194">
      <c r="A194" s="25"/>
      <c r="B194" s="5"/>
      <c r="C194" s="5"/>
      <c r="D194" s="5"/>
      <c r="E194" s="26"/>
      <c r="F194" s="27"/>
      <c r="G194" s="26"/>
      <c r="H194" s="27"/>
    </row>
    <row r="195">
      <c r="A195" s="25"/>
      <c r="B195" s="5"/>
      <c r="C195" s="5"/>
      <c r="D195" s="5"/>
      <c r="E195" s="26"/>
      <c r="F195" s="27"/>
      <c r="G195" s="26"/>
      <c r="H195" s="27"/>
    </row>
    <row r="196">
      <c r="A196" s="25"/>
      <c r="B196" s="5"/>
      <c r="C196" s="5"/>
      <c r="D196" s="5"/>
      <c r="E196" s="26"/>
      <c r="F196" s="27"/>
      <c r="G196" s="26"/>
      <c r="H196" s="27"/>
    </row>
    <row r="197">
      <c r="A197" s="25"/>
      <c r="B197" s="5"/>
      <c r="C197" s="5"/>
      <c r="D197" s="5"/>
      <c r="E197" s="26"/>
      <c r="F197" s="27"/>
      <c r="G197" s="26"/>
      <c r="H197" s="27"/>
    </row>
    <row r="198">
      <c r="A198" s="25"/>
      <c r="B198" s="5"/>
      <c r="C198" s="5"/>
      <c r="D198" s="5"/>
      <c r="E198" s="26"/>
      <c r="F198" s="27"/>
      <c r="G198" s="26"/>
      <c r="H198" s="27"/>
    </row>
    <row r="199">
      <c r="A199" s="25"/>
      <c r="B199" s="5"/>
      <c r="C199" s="5"/>
      <c r="D199" s="5"/>
      <c r="E199" s="26"/>
      <c r="F199" s="27"/>
      <c r="G199" s="26"/>
      <c r="H199" s="27"/>
    </row>
    <row r="200">
      <c r="A200" s="25"/>
      <c r="B200" s="5"/>
      <c r="C200" s="5"/>
      <c r="D200" s="5"/>
      <c r="E200" s="26"/>
      <c r="F200" s="27"/>
      <c r="G200" s="26"/>
      <c r="H200" s="27"/>
    </row>
    <row r="201">
      <c r="A201" s="25"/>
      <c r="B201" s="5"/>
      <c r="C201" s="5"/>
      <c r="D201" s="5"/>
      <c r="E201" s="26"/>
      <c r="F201" s="27"/>
      <c r="G201" s="26"/>
      <c r="H201" s="27"/>
    </row>
    <row r="202">
      <c r="A202" s="25"/>
      <c r="B202" s="5"/>
      <c r="C202" s="5"/>
      <c r="D202" s="5"/>
      <c r="E202" s="26"/>
      <c r="F202" s="27"/>
      <c r="G202" s="26"/>
      <c r="H202" s="27"/>
    </row>
    <row r="203">
      <c r="A203" s="25"/>
      <c r="B203" s="5"/>
      <c r="C203" s="5"/>
      <c r="D203" s="5"/>
      <c r="E203" s="26"/>
      <c r="F203" s="27"/>
      <c r="G203" s="26"/>
      <c r="H203" s="27"/>
    </row>
    <row r="204">
      <c r="A204" s="25"/>
      <c r="B204" s="5"/>
      <c r="C204" s="5"/>
      <c r="D204" s="5"/>
      <c r="E204" s="26"/>
      <c r="F204" s="27"/>
      <c r="G204" s="26"/>
      <c r="H204" s="27"/>
    </row>
    <row r="205">
      <c r="A205" s="25"/>
      <c r="B205" s="5"/>
      <c r="C205" s="5"/>
      <c r="D205" s="5"/>
      <c r="E205" s="26"/>
      <c r="F205" s="27"/>
      <c r="G205" s="26"/>
      <c r="H205" s="27"/>
    </row>
    <row r="206">
      <c r="A206" s="25"/>
      <c r="B206" s="5"/>
      <c r="C206" s="5"/>
      <c r="D206" s="5"/>
      <c r="E206" s="26"/>
      <c r="F206" s="27"/>
      <c r="G206" s="26"/>
      <c r="H206" s="27"/>
    </row>
    <row r="207">
      <c r="A207" s="25"/>
      <c r="B207" s="5"/>
      <c r="C207" s="5"/>
      <c r="D207" s="5"/>
      <c r="E207" s="26"/>
      <c r="F207" s="27"/>
      <c r="G207" s="26"/>
      <c r="H207" s="27"/>
    </row>
    <row r="208">
      <c r="A208" s="25"/>
      <c r="B208" s="5"/>
      <c r="C208" s="5"/>
      <c r="D208" s="5"/>
      <c r="E208" s="26"/>
      <c r="F208" s="27"/>
      <c r="G208" s="26"/>
      <c r="H208" s="27"/>
    </row>
    <row r="209">
      <c r="A209" s="25"/>
      <c r="B209" s="5"/>
      <c r="C209" s="5"/>
      <c r="D209" s="5"/>
      <c r="E209" s="26"/>
      <c r="F209" s="27"/>
      <c r="G209" s="26"/>
      <c r="H209" s="27"/>
    </row>
    <row r="210">
      <c r="A210" s="25"/>
      <c r="B210" s="5"/>
      <c r="C210" s="5"/>
      <c r="D210" s="5"/>
      <c r="E210" s="26"/>
      <c r="F210" s="27"/>
      <c r="G210" s="26"/>
      <c r="H210" s="27"/>
    </row>
    <row r="211">
      <c r="A211" s="25"/>
      <c r="B211" s="5"/>
      <c r="C211" s="5"/>
      <c r="D211" s="5"/>
      <c r="E211" s="26"/>
      <c r="F211" s="27"/>
      <c r="G211" s="26"/>
      <c r="H211" s="27"/>
    </row>
    <row r="212">
      <c r="A212" s="25"/>
      <c r="B212" s="5"/>
      <c r="C212" s="5"/>
      <c r="D212" s="5"/>
      <c r="E212" s="26"/>
      <c r="F212" s="27"/>
      <c r="G212" s="26"/>
      <c r="H212" s="27"/>
    </row>
    <row r="213">
      <c r="A213" s="25"/>
      <c r="B213" s="5"/>
      <c r="C213" s="5"/>
      <c r="D213" s="5"/>
      <c r="E213" s="26"/>
      <c r="F213" s="27"/>
      <c r="G213" s="26"/>
      <c r="H213" s="27"/>
    </row>
    <row r="214">
      <c r="A214" s="25"/>
      <c r="B214" s="5"/>
      <c r="C214" s="5"/>
      <c r="D214" s="5"/>
      <c r="E214" s="26"/>
      <c r="F214" s="27"/>
      <c r="G214" s="26"/>
      <c r="H214" s="27"/>
    </row>
    <row r="215">
      <c r="A215" s="25"/>
      <c r="B215" s="5"/>
      <c r="C215" s="5"/>
      <c r="D215" s="5"/>
      <c r="E215" s="26"/>
      <c r="F215" s="27"/>
      <c r="G215" s="26"/>
      <c r="H215" s="27"/>
    </row>
    <row r="216">
      <c r="A216" s="25"/>
      <c r="B216" s="5"/>
      <c r="C216" s="5"/>
      <c r="D216" s="5"/>
      <c r="E216" s="26"/>
      <c r="F216" s="27"/>
      <c r="G216" s="26"/>
      <c r="H216" s="27"/>
    </row>
    <row r="217">
      <c r="A217" s="25"/>
      <c r="B217" s="5"/>
      <c r="C217" s="5"/>
      <c r="D217" s="5"/>
      <c r="E217" s="26"/>
      <c r="F217" s="27"/>
      <c r="G217" s="26"/>
      <c r="H217" s="27"/>
    </row>
    <row r="218">
      <c r="A218" s="25"/>
      <c r="B218" s="5"/>
      <c r="C218" s="5"/>
      <c r="D218" s="5"/>
      <c r="E218" s="26"/>
      <c r="F218" s="27"/>
      <c r="G218" s="26"/>
      <c r="H218" s="27"/>
    </row>
    <row r="219">
      <c r="A219" s="25"/>
      <c r="B219" s="5"/>
      <c r="C219" s="5"/>
      <c r="D219" s="5"/>
      <c r="E219" s="26"/>
      <c r="F219" s="27"/>
      <c r="G219" s="26"/>
      <c r="H219" s="27"/>
    </row>
    <row r="220">
      <c r="A220" s="25"/>
      <c r="B220" s="5"/>
      <c r="C220" s="5"/>
      <c r="D220" s="5"/>
      <c r="E220" s="26"/>
      <c r="F220" s="27"/>
      <c r="G220" s="26"/>
      <c r="H220" s="27"/>
    </row>
    <row r="221">
      <c r="A221" s="25"/>
      <c r="B221" s="5"/>
      <c r="C221" s="5"/>
      <c r="D221" s="5"/>
      <c r="E221" s="26"/>
      <c r="F221" s="27"/>
      <c r="G221" s="26"/>
      <c r="H221" s="27"/>
    </row>
    <row r="222">
      <c r="A222" s="25"/>
      <c r="B222" s="5"/>
      <c r="C222" s="5"/>
      <c r="D222" s="5"/>
      <c r="E222" s="26"/>
      <c r="F222" s="27"/>
      <c r="G222" s="26"/>
      <c r="H222" s="27"/>
    </row>
    <row r="223">
      <c r="A223" s="25"/>
      <c r="B223" s="5"/>
      <c r="C223" s="5"/>
      <c r="D223" s="5"/>
      <c r="E223" s="26"/>
      <c r="F223" s="27"/>
      <c r="G223" s="26"/>
      <c r="H223" s="27"/>
    </row>
    <row r="224">
      <c r="A224" s="25"/>
      <c r="B224" s="5"/>
      <c r="C224" s="5"/>
      <c r="D224" s="5"/>
      <c r="E224" s="26"/>
      <c r="F224" s="27"/>
      <c r="G224" s="26"/>
      <c r="H224" s="27"/>
    </row>
    <row r="225">
      <c r="A225" s="25"/>
      <c r="B225" s="5"/>
      <c r="C225" s="5"/>
      <c r="D225" s="5"/>
      <c r="E225" s="26"/>
      <c r="F225" s="27"/>
      <c r="G225" s="26"/>
      <c r="H225" s="27"/>
    </row>
    <row r="226">
      <c r="A226" s="25"/>
      <c r="B226" s="5"/>
      <c r="C226" s="5"/>
      <c r="D226" s="5"/>
      <c r="E226" s="26"/>
      <c r="F226" s="27"/>
      <c r="G226" s="26"/>
      <c r="H226" s="27"/>
    </row>
    <row r="227">
      <c r="A227" s="25"/>
      <c r="B227" s="5"/>
      <c r="C227" s="5"/>
      <c r="D227" s="5"/>
      <c r="E227" s="26"/>
      <c r="F227" s="27"/>
      <c r="G227" s="26"/>
      <c r="H227" s="27"/>
    </row>
    <row r="228">
      <c r="A228" s="25"/>
      <c r="B228" s="5"/>
      <c r="C228" s="5"/>
      <c r="D228" s="5"/>
      <c r="E228" s="26"/>
      <c r="F228" s="27"/>
      <c r="G228" s="26"/>
      <c r="H228" s="27"/>
    </row>
    <row r="229">
      <c r="A229" s="25"/>
      <c r="B229" s="5"/>
      <c r="C229" s="5"/>
      <c r="D229" s="5"/>
      <c r="E229" s="26"/>
      <c r="F229" s="27"/>
      <c r="G229" s="26"/>
      <c r="H229" s="27"/>
    </row>
    <row r="230">
      <c r="A230" s="25"/>
      <c r="B230" s="5"/>
      <c r="C230" s="5"/>
      <c r="D230" s="5"/>
      <c r="E230" s="26"/>
      <c r="F230" s="27"/>
      <c r="G230" s="26"/>
      <c r="H230" s="27"/>
    </row>
    <row r="231">
      <c r="A231" s="25"/>
      <c r="B231" s="5"/>
      <c r="C231" s="5"/>
      <c r="D231" s="5"/>
      <c r="E231" s="26"/>
      <c r="F231" s="27"/>
      <c r="G231" s="26"/>
      <c r="H231" s="27"/>
    </row>
    <row r="232">
      <c r="A232" s="25"/>
      <c r="B232" s="5"/>
      <c r="C232" s="5"/>
      <c r="D232" s="5"/>
      <c r="E232" s="26"/>
      <c r="F232" s="27"/>
      <c r="G232" s="26"/>
      <c r="H232" s="27"/>
    </row>
    <row r="233">
      <c r="A233" s="25"/>
      <c r="B233" s="5"/>
      <c r="C233" s="5"/>
      <c r="D233" s="5"/>
      <c r="E233" s="26"/>
      <c r="F233" s="27"/>
      <c r="G233" s="26"/>
      <c r="H233" s="27"/>
    </row>
    <row r="234">
      <c r="A234" s="25"/>
      <c r="B234" s="5"/>
      <c r="C234" s="5"/>
      <c r="D234" s="5"/>
      <c r="E234" s="26"/>
      <c r="F234" s="27"/>
      <c r="G234" s="26"/>
      <c r="H234" s="27"/>
    </row>
    <row r="235">
      <c r="A235" s="25"/>
      <c r="B235" s="5"/>
      <c r="C235" s="5"/>
      <c r="D235" s="5"/>
      <c r="E235" s="26"/>
      <c r="F235" s="27"/>
      <c r="G235" s="26"/>
      <c r="H235" s="27"/>
    </row>
    <row r="236">
      <c r="A236" s="25"/>
      <c r="B236" s="5"/>
      <c r="C236" s="5"/>
      <c r="D236" s="5"/>
      <c r="E236" s="26"/>
      <c r="F236" s="27"/>
      <c r="G236" s="26"/>
      <c r="H236" s="27"/>
    </row>
    <row r="237">
      <c r="A237" s="25"/>
      <c r="B237" s="5"/>
      <c r="C237" s="5"/>
      <c r="D237" s="5"/>
      <c r="E237" s="26"/>
      <c r="F237" s="27"/>
      <c r="G237" s="26"/>
      <c r="H237" s="27"/>
    </row>
    <row r="238">
      <c r="A238" s="25"/>
      <c r="B238" s="5"/>
      <c r="C238" s="5"/>
      <c r="D238" s="5"/>
      <c r="E238" s="26"/>
      <c r="F238" s="27"/>
      <c r="G238" s="26"/>
      <c r="H238" s="27"/>
    </row>
    <row r="239">
      <c r="A239" s="25"/>
      <c r="B239" s="5"/>
      <c r="C239" s="5"/>
      <c r="D239" s="5"/>
      <c r="E239" s="26"/>
      <c r="F239" s="27"/>
      <c r="G239" s="26"/>
      <c r="H239" s="27"/>
    </row>
    <row r="240">
      <c r="A240" s="25"/>
      <c r="B240" s="5"/>
      <c r="C240" s="5"/>
      <c r="D240" s="5"/>
      <c r="E240" s="26"/>
      <c r="F240" s="27"/>
      <c r="G240" s="26"/>
      <c r="H240" s="27"/>
    </row>
    <row r="241">
      <c r="A241" s="25"/>
      <c r="B241" s="5"/>
      <c r="C241" s="5"/>
      <c r="D241" s="5"/>
      <c r="E241" s="26"/>
      <c r="F241" s="27"/>
      <c r="G241" s="26"/>
      <c r="H241" s="27"/>
    </row>
    <row r="242">
      <c r="A242" s="25"/>
      <c r="B242" s="5"/>
      <c r="C242" s="5"/>
      <c r="D242" s="5"/>
      <c r="E242" s="26"/>
      <c r="F242" s="27"/>
      <c r="G242" s="26"/>
      <c r="H242" s="27"/>
    </row>
    <row r="243">
      <c r="A243" s="25"/>
      <c r="B243" s="5"/>
      <c r="C243" s="5"/>
      <c r="D243" s="5"/>
      <c r="E243" s="26"/>
      <c r="F243" s="27"/>
      <c r="G243" s="26"/>
      <c r="H243" s="27"/>
    </row>
    <row r="244">
      <c r="A244" s="25"/>
      <c r="B244" s="5"/>
      <c r="C244" s="5"/>
      <c r="D244" s="5"/>
      <c r="E244" s="26"/>
      <c r="F244" s="27"/>
      <c r="G244" s="26"/>
      <c r="H244" s="27"/>
    </row>
    <row r="245">
      <c r="A245" s="25"/>
      <c r="B245" s="5"/>
      <c r="C245" s="5"/>
      <c r="D245" s="5"/>
      <c r="E245" s="26"/>
      <c r="F245" s="27"/>
      <c r="G245" s="26"/>
      <c r="H245" s="27"/>
    </row>
    <row r="246">
      <c r="A246" s="25"/>
      <c r="B246" s="5"/>
      <c r="C246" s="5"/>
      <c r="D246" s="5"/>
      <c r="E246" s="26"/>
      <c r="F246" s="27"/>
      <c r="G246" s="26"/>
      <c r="H246" s="27"/>
    </row>
    <row r="247">
      <c r="A247" s="25"/>
      <c r="B247" s="5"/>
      <c r="C247" s="5"/>
      <c r="D247" s="5"/>
      <c r="E247" s="26"/>
      <c r="F247" s="27"/>
      <c r="G247" s="26"/>
      <c r="H247" s="27"/>
    </row>
    <row r="248">
      <c r="A248" s="25"/>
      <c r="B248" s="5"/>
      <c r="C248" s="5"/>
      <c r="D248" s="5"/>
      <c r="E248" s="26"/>
      <c r="F248" s="27"/>
      <c r="G248" s="26"/>
      <c r="H248" s="27"/>
    </row>
    <row r="249">
      <c r="A249" s="25"/>
      <c r="B249" s="5"/>
      <c r="C249" s="5"/>
      <c r="D249" s="5"/>
      <c r="E249" s="26"/>
      <c r="F249" s="27"/>
      <c r="G249" s="26"/>
      <c r="H249" s="27"/>
    </row>
    <row r="250">
      <c r="A250" s="25"/>
      <c r="B250" s="5"/>
      <c r="C250" s="5"/>
      <c r="D250" s="5"/>
      <c r="E250" s="26"/>
      <c r="F250" s="27"/>
      <c r="G250" s="26"/>
      <c r="H250" s="27"/>
    </row>
    <row r="251">
      <c r="A251" s="25"/>
      <c r="B251" s="5"/>
      <c r="C251" s="5"/>
      <c r="D251" s="5"/>
      <c r="E251" s="26"/>
      <c r="F251" s="27"/>
      <c r="G251" s="26"/>
      <c r="H251" s="27"/>
    </row>
    <row r="252">
      <c r="A252" s="25"/>
      <c r="B252" s="5"/>
      <c r="C252" s="5"/>
      <c r="D252" s="5"/>
      <c r="E252" s="26"/>
      <c r="F252" s="27"/>
      <c r="G252" s="26"/>
      <c r="H252" s="27"/>
    </row>
    <row r="253">
      <c r="A253" s="25"/>
      <c r="B253" s="5"/>
      <c r="C253" s="5"/>
      <c r="D253" s="5"/>
      <c r="E253" s="26"/>
      <c r="F253" s="27"/>
      <c r="G253" s="26"/>
      <c r="H253" s="27"/>
    </row>
    <row r="254">
      <c r="A254" s="25"/>
      <c r="B254" s="5"/>
      <c r="C254" s="5"/>
      <c r="D254" s="5"/>
      <c r="E254" s="26"/>
      <c r="F254" s="27"/>
      <c r="G254" s="26"/>
      <c r="H254" s="27"/>
    </row>
    <row r="255">
      <c r="A255" s="25"/>
      <c r="B255" s="5"/>
      <c r="C255" s="5"/>
      <c r="D255" s="5"/>
      <c r="E255" s="26"/>
      <c r="F255" s="27"/>
      <c r="G255" s="26"/>
      <c r="H255" s="27"/>
    </row>
    <row r="256">
      <c r="A256" s="25"/>
      <c r="B256" s="5"/>
      <c r="C256" s="5"/>
      <c r="D256" s="5"/>
      <c r="E256" s="26"/>
      <c r="F256" s="27"/>
      <c r="G256" s="26"/>
      <c r="H256" s="27"/>
    </row>
    <row r="257">
      <c r="A257" s="25"/>
      <c r="B257" s="5"/>
      <c r="C257" s="5"/>
      <c r="D257" s="5"/>
      <c r="E257" s="26"/>
      <c r="F257" s="27"/>
      <c r="G257" s="26"/>
      <c r="H257" s="27"/>
    </row>
    <row r="258">
      <c r="A258" s="25"/>
      <c r="B258" s="5"/>
      <c r="C258" s="5"/>
      <c r="D258" s="5"/>
      <c r="E258" s="26"/>
      <c r="F258" s="27"/>
      <c r="G258" s="26"/>
      <c r="H258" s="27"/>
    </row>
    <row r="259">
      <c r="A259" s="25"/>
      <c r="B259" s="5"/>
      <c r="C259" s="5"/>
      <c r="D259" s="5"/>
      <c r="E259" s="26"/>
      <c r="F259" s="27"/>
      <c r="G259" s="26"/>
      <c r="H259" s="27"/>
    </row>
    <row r="260">
      <c r="A260" s="25"/>
      <c r="B260" s="5"/>
      <c r="C260" s="5"/>
      <c r="D260" s="5"/>
      <c r="E260" s="26"/>
      <c r="F260" s="27"/>
      <c r="G260" s="26"/>
      <c r="H260" s="27"/>
    </row>
    <row r="261">
      <c r="A261" s="25"/>
      <c r="B261" s="5"/>
      <c r="C261" s="5"/>
      <c r="D261" s="5"/>
      <c r="E261" s="26"/>
      <c r="F261" s="27"/>
      <c r="G261" s="26"/>
      <c r="H261" s="27"/>
    </row>
    <row r="262">
      <c r="A262" s="25"/>
      <c r="B262" s="5"/>
      <c r="C262" s="5"/>
      <c r="D262" s="5"/>
      <c r="E262" s="26"/>
      <c r="F262" s="27"/>
      <c r="G262" s="26"/>
      <c r="H262" s="27"/>
    </row>
    <row r="263">
      <c r="A263" s="25"/>
      <c r="B263" s="5"/>
      <c r="C263" s="5"/>
      <c r="D263" s="5"/>
      <c r="E263" s="26"/>
      <c r="F263" s="27"/>
      <c r="G263" s="26"/>
      <c r="H263" s="27"/>
    </row>
    <row r="264">
      <c r="A264" s="25"/>
      <c r="B264" s="5"/>
      <c r="C264" s="5"/>
      <c r="D264" s="5"/>
      <c r="E264" s="26"/>
      <c r="F264" s="27"/>
      <c r="G264" s="26"/>
      <c r="H264" s="27"/>
    </row>
    <row r="265">
      <c r="A265" s="25"/>
      <c r="B265" s="5"/>
      <c r="C265" s="5"/>
      <c r="D265" s="5"/>
      <c r="E265" s="26"/>
      <c r="F265" s="27"/>
      <c r="G265" s="26"/>
      <c r="H265" s="27"/>
    </row>
    <row r="266">
      <c r="A266" s="25"/>
      <c r="B266" s="5"/>
      <c r="C266" s="5"/>
      <c r="D266" s="5"/>
      <c r="E266" s="26"/>
      <c r="F266" s="27"/>
      <c r="G266" s="26"/>
      <c r="H266" s="27"/>
    </row>
    <row r="267">
      <c r="A267" s="25"/>
      <c r="B267" s="5"/>
      <c r="C267" s="5"/>
      <c r="D267" s="5"/>
      <c r="E267" s="26"/>
      <c r="F267" s="27"/>
      <c r="G267" s="26"/>
      <c r="H267" s="27"/>
    </row>
    <row r="268">
      <c r="A268" s="25"/>
      <c r="B268" s="5"/>
      <c r="C268" s="5"/>
      <c r="D268" s="5"/>
      <c r="E268" s="26"/>
      <c r="F268" s="27"/>
      <c r="G268" s="26"/>
      <c r="H268" s="27"/>
    </row>
    <row r="269">
      <c r="A269" s="25"/>
      <c r="B269" s="5"/>
      <c r="C269" s="5"/>
      <c r="D269" s="5"/>
      <c r="E269" s="26"/>
      <c r="F269" s="27"/>
      <c r="G269" s="26"/>
      <c r="H269" s="27"/>
    </row>
    <row r="270">
      <c r="A270" s="25"/>
      <c r="B270" s="5"/>
      <c r="C270" s="5"/>
      <c r="D270" s="5"/>
      <c r="E270" s="26"/>
      <c r="F270" s="27"/>
      <c r="G270" s="26"/>
      <c r="H270" s="27"/>
    </row>
    <row r="271">
      <c r="A271" s="25"/>
      <c r="B271" s="5"/>
      <c r="C271" s="5"/>
      <c r="D271" s="5"/>
      <c r="E271" s="26"/>
      <c r="F271" s="27"/>
      <c r="G271" s="26"/>
      <c r="H271" s="27"/>
    </row>
    <row r="272">
      <c r="A272" s="25"/>
      <c r="B272" s="5"/>
      <c r="C272" s="5"/>
      <c r="D272" s="5"/>
      <c r="E272" s="26"/>
      <c r="F272" s="27"/>
      <c r="G272" s="26"/>
      <c r="H272" s="27"/>
    </row>
    <row r="273">
      <c r="A273" s="25"/>
      <c r="B273" s="5"/>
      <c r="C273" s="5"/>
      <c r="D273" s="5"/>
      <c r="E273" s="26"/>
      <c r="F273" s="27"/>
      <c r="G273" s="26"/>
      <c r="H273" s="27"/>
    </row>
    <row r="274">
      <c r="A274" s="25"/>
      <c r="B274" s="5"/>
      <c r="C274" s="5"/>
      <c r="D274" s="5"/>
      <c r="E274" s="26"/>
      <c r="F274" s="27"/>
      <c r="G274" s="26"/>
      <c r="H274" s="27"/>
    </row>
    <row r="275">
      <c r="A275" s="25"/>
      <c r="B275" s="5"/>
      <c r="C275" s="5"/>
      <c r="D275" s="5"/>
      <c r="E275" s="26"/>
      <c r="F275" s="27"/>
      <c r="G275" s="26"/>
      <c r="H275" s="27"/>
    </row>
    <row r="276">
      <c r="A276" s="25"/>
      <c r="B276" s="5"/>
      <c r="C276" s="5"/>
      <c r="D276" s="5"/>
      <c r="E276" s="26"/>
      <c r="F276" s="27"/>
      <c r="G276" s="26"/>
      <c r="H276" s="27"/>
    </row>
    <row r="277">
      <c r="A277" s="25"/>
      <c r="B277" s="5"/>
      <c r="C277" s="5"/>
      <c r="D277" s="5"/>
      <c r="E277" s="26"/>
      <c r="F277" s="27"/>
      <c r="G277" s="26"/>
      <c r="H277" s="27"/>
    </row>
    <row r="278">
      <c r="A278" s="25"/>
      <c r="B278" s="5"/>
      <c r="C278" s="5"/>
      <c r="D278" s="5"/>
      <c r="E278" s="26"/>
      <c r="F278" s="27"/>
      <c r="G278" s="26"/>
      <c r="H278" s="27"/>
    </row>
    <row r="279">
      <c r="A279" s="25"/>
      <c r="B279" s="5"/>
      <c r="C279" s="5"/>
      <c r="D279" s="5"/>
      <c r="E279" s="26"/>
      <c r="F279" s="27"/>
      <c r="G279" s="26"/>
      <c r="H279" s="27"/>
    </row>
    <row r="280">
      <c r="A280" s="25"/>
      <c r="B280" s="5"/>
      <c r="C280" s="5"/>
      <c r="D280" s="5"/>
      <c r="E280" s="26"/>
      <c r="F280" s="27"/>
      <c r="G280" s="26"/>
      <c r="H280" s="27"/>
    </row>
    <row r="281">
      <c r="A281" s="25"/>
      <c r="B281" s="5"/>
      <c r="C281" s="5"/>
      <c r="D281" s="5"/>
      <c r="E281" s="26"/>
      <c r="F281" s="27"/>
      <c r="G281" s="26"/>
      <c r="H281" s="27"/>
    </row>
    <row r="282">
      <c r="A282" s="25"/>
      <c r="B282" s="5"/>
      <c r="C282" s="5"/>
      <c r="D282" s="5"/>
      <c r="E282" s="26"/>
      <c r="F282" s="27"/>
      <c r="G282" s="26"/>
      <c r="H282" s="27"/>
    </row>
    <row r="283">
      <c r="A283" s="25"/>
      <c r="B283" s="5"/>
      <c r="C283" s="5"/>
      <c r="D283" s="5"/>
      <c r="E283" s="26"/>
      <c r="F283" s="27"/>
      <c r="G283" s="26"/>
      <c r="H283" s="27"/>
    </row>
    <row r="284">
      <c r="A284" s="25"/>
      <c r="B284" s="5"/>
      <c r="C284" s="5"/>
      <c r="D284" s="5"/>
      <c r="E284" s="26"/>
      <c r="F284" s="27"/>
      <c r="G284" s="26"/>
      <c r="H284" s="27"/>
    </row>
    <row r="285">
      <c r="A285" s="25"/>
      <c r="B285" s="5"/>
      <c r="C285" s="5"/>
      <c r="D285" s="5"/>
      <c r="E285" s="26"/>
      <c r="F285" s="27"/>
      <c r="G285" s="26"/>
      <c r="H285" s="27"/>
    </row>
    <row r="286">
      <c r="A286" s="25"/>
      <c r="B286" s="5"/>
      <c r="C286" s="5"/>
      <c r="D286" s="5"/>
      <c r="E286" s="26"/>
      <c r="F286" s="27"/>
      <c r="G286" s="26"/>
      <c r="H286" s="27"/>
    </row>
    <row r="287">
      <c r="A287" s="25"/>
      <c r="B287" s="5"/>
      <c r="C287" s="5"/>
      <c r="D287" s="5"/>
      <c r="E287" s="26"/>
      <c r="F287" s="27"/>
      <c r="G287" s="26"/>
      <c r="H287" s="27"/>
    </row>
    <row r="288">
      <c r="A288" s="25"/>
      <c r="B288" s="5"/>
      <c r="C288" s="5"/>
      <c r="D288" s="5"/>
      <c r="E288" s="26"/>
      <c r="F288" s="27"/>
      <c r="G288" s="26"/>
      <c r="H288" s="27"/>
    </row>
    <row r="289">
      <c r="A289" s="25"/>
      <c r="B289" s="5"/>
      <c r="C289" s="5"/>
      <c r="D289" s="5"/>
      <c r="E289" s="26"/>
      <c r="F289" s="27"/>
      <c r="G289" s="26"/>
      <c r="H289" s="27"/>
    </row>
    <row r="290">
      <c r="A290" s="25"/>
      <c r="B290" s="5"/>
      <c r="C290" s="5"/>
      <c r="D290" s="5"/>
      <c r="E290" s="26"/>
      <c r="F290" s="27"/>
      <c r="G290" s="26"/>
      <c r="H290" s="27"/>
    </row>
    <row r="291">
      <c r="A291" s="25"/>
      <c r="B291" s="5"/>
      <c r="C291" s="5"/>
      <c r="D291" s="5"/>
      <c r="E291" s="26"/>
      <c r="F291" s="27"/>
      <c r="G291" s="26"/>
      <c r="H291" s="27"/>
    </row>
    <row r="292">
      <c r="A292" s="25"/>
      <c r="B292" s="5"/>
      <c r="C292" s="5"/>
      <c r="D292" s="5"/>
      <c r="E292" s="26"/>
      <c r="F292" s="27"/>
      <c r="G292" s="26"/>
      <c r="H292" s="27"/>
    </row>
    <row r="293">
      <c r="A293" s="25"/>
      <c r="B293" s="5"/>
      <c r="C293" s="5"/>
      <c r="D293" s="5"/>
      <c r="E293" s="26"/>
      <c r="F293" s="27"/>
      <c r="G293" s="26"/>
      <c r="H293" s="27"/>
    </row>
    <row r="294">
      <c r="A294" s="25"/>
      <c r="B294" s="5"/>
      <c r="C294" s="5"/>
      <c r="D294" s="5"/>
      <c r="E294" s="26"/>
      <c r="F294" s="27"/>
      <c r="G294" s="26"/>
      <c r="H294" s="27"/>
    </row>
    <row r="295">
      <c r="A295" s="25"/>
      <c r="B295" s="5"/>
      <c r="C295" s="5"/>
      <c r="D295" s="5"/>
      <c r="E295" s="26"/>
      <c r="F295" s="27"/>
      <c r="G295" s="26"/>
      <c r="H295" s="27"/>
    </row>
    <row r="296">
      <c r="A296" s="25"/>
      <c r="B296" s="5"/>
      <c r="C296" s="5"/>
      <c r="D296" s="5"/>
      <c r="E296" s="26"/>
      <c r="F296" s="27"/>
      <c r="G296" s="26"/>
      <c r="H296" s="27"/>
    </row>
    <row r="297">
      <c r="A297" s="25"/>
      <c r="B297" s="5"/>
      <c r="C297" s="5"/>
      <c r="D297" s="5"/>
      <c r="E297" s="26"/>
      <c r="F297" s="27"/>
      <c r="G297" s="26"/>
      <c r="H297" s="27"/>
    </row>
    <row r="298">
      <c r="A298" s="25"/>
      <c r="B298" s="5"/>
      <c r="C298" s="5"/>
      <c r="D298" s="5"/>
      <c r="E298" s="26"/>
      <c r="F298" s="27"/>
      <c r="G298" s="26"/>
      <c r="H298" s="27"/>
    </row>
    <row r="299">
      <c r="A299" s="25"/>
      <c r="B299" s="5"/>
      <c r="C299" s="5"/>
      <c r="D299" s="5"/>
      <c r="E299" s="26"/>
      <c r="F299" s="27"/>
      <c r="G299" s="26"/>
      <c r="H299" s="27"/>
    </row>
    <row r="300">
      <c r="A300" s="25"/>
      <c r="B300" s="5"/>
      <c r="C300" s="5"/>
      <c r="D300" s="5"/>
      <c r="E300" s="26"/>
      <c r="F300" s="27"/>
      <c r="G300" s="26"/>
      <c r="H300" s="27"/>
    </row>
    <row r="301">
      <c r="A301" s="25"/>
      <c r="B301" s="5"/>
      <c r="C301" s="5"/>
      <c r="D301" s="5"/>
      <c r="E301" s="26"/>
      <c r="F301" s="27"/>
      <c r="G301" s="26"/>
      <c r="H301" s="27"/>
    </row>
    <row r="302">
      <c r="A302" s="25"/>
      <c r="B302" s="5"/>
      <c r="C302" s="5"/>
      <c r="D302" s="5"/>
      <c r="E302" s="26"/>
      <c r="F302" s="27"/>
      <c r="G302" s="26"/>
      <c r="H302" s="27"/>
    </row>
    <row r="303">
      <c r="A303" s="25"/>
      <c r="B303" s="5"/>
      <c r="C303" s="5"/>
      <c r="D303" s="5"/>
      <c r="E303" s="26"/>
      <c r="F303" s="27"/>
      <c r="G303" s="26"/>
      <c r="H303" s="27"/>
    </row>
    <row r="304">
      <c r="A304" s="25"/>
      <c r="B304" s="5"/>
      <c r="C304" s="5"/>
      <c r="D304" s="5"/>
      <c r="E304" s="26"/>
      <c r="F304" s="27"/>
      <c r="G304" s="26"/>
      <c r="H304" s="27"/>
    </row>
    <row r="305">
      <c r="A305" s="25"/>
      <c r="B305" s="5"/>
      <c r="C305" s="5"/>
      <c r="D305" s="5"/>
      <c r="E305" s="26"/>
      <c r="F305" s="27"/>
      <c r="G305" s="26"/>
      <c r="H305" s="27"/>
    </row>
    <row r="306">
      <c r="A306" s="25"/>
      <c r="B306" s="5"/>
      <c r="C306" s="5"/>
      <c r="D306" s="5"/>
      <c r="E306" s="26"/>
      <c r="F306" s="27"/>
      <c r="G306" s="26"/>
      <c r="H306" s="27"/>
    </row>
    <row r="307">
      <c r="A307" s="25"/>
      <c r="B307" s="5"/>
      <c r="C307" s="5"/>
      <c r="D307" s="5"/>
      <c r="E307" s="26"/>
      <c r="F307" s="27"/>
      <c r="G307" s="26"/>
      <c r="H307" s="27"/>
    </row>
    <row r="308">
      <c r="A308" s="25"/>
      <c r="B308" s="5"/>
      <c r="C308" s="5"/>
      <c r="D308" s="5"/>
      <c r="E308" s="26"/>
      <c r="F308" s="27"/>
      <c r="G308" s="26"/>
      <c r="H308" s="27"/>
    </row>
    <row r="309">
      <c r="A309" s="25"/>
      <c r="B309" s="5"/>
      <c r="C309" s="5"/>
      <c r="D309" s="5"/>
      <c r="E309" s="26"/>
      <c r="F309" s="27"/>
      <c r="G309" s="26"/>
      <c r="H309" s="27"/>
    </row>
    <row r="310">
      <c r="A310" s="25"/>
      <c r="B310" s="5"/>
      <c r="C310" s="5"/>
      <c r="D310" s="5"/>
      <c r="E310" s="26"/>
      <c r="F310" s="27"/>
      <c r="G310" s="26"/>
      <c r="H310" s="27"/>
    </row>
    <row r="311">
      <c r="A311" s="25"/>
      <c r="B311" s="5"/>
      <c r="C311" s="5"/>
      <c r="D311" s="5"/>
      <c r="E311" s="26"/>
      <c r="F311" s="27"/>
      <c r="G311" s="26"/>
      <c r="H311" s="27"/>
    </row>
    <row r="312">
      <c r="A312" s="25"/>
      <c r="B312" s="5"/>
      <c r="C312" s="5"/>
      <c r="D312" s="5"/>
      <c r="E312" s="26"/>
      <c r="F312" s="27"/>
      <c r="G312" s="26"/>
      <c r="H312" s="27"/>
    </row>
    <row r="313">
      <c r="A313" s="25"/>
      <c r="B313" s="5"/>
      <c r="C313" s="5"/>
      <c r="D313" s="5"/>
      <c r="E313" s="26"/>
      <c r="F313" s="27"/>
      <c r="G313" s="26"/>
      <c r="H313" s="27"/>
    </row>
    <row r="314">
      <c r="A314" s="25"/>
      <c r="B314" s="5"/>
      <c r="C314" s="5"/>
      <c r="D314" s="5"/>
      <c r="E314" s="26"/>
      <c r="F314" s="27"/>
      <c r="G314" s="26"/>
      <c r="H314" s="27"/>
    </row>
    <row r="315">
      <c r="A315" s="25"/>
      <c r="B315" s="5"/>
      <c r="C315" s="5"/>
      <c r="D315" s="5"/>
      <c r="E315" s="26"/>
      <c r="F315" s="27"/>
      <c r="G315" s="26"/>
      <c r="H315" s="27"/>
    </row>
    <row r="316">
      <c r="A316" s="25"/>
      <c r="B316" s="5"/>
      <c r="C316" s="5"/>
      <c r="D316" s="5"/>
      <c r="E316" s="26"/>
      <c r="F316" s="27"/>
      <c r="G316" s="26"/>
      <c r="H316" s="27"/>
    </row>
    <row r="317">
      <c r="A317" s="25"/>
      <c r="B317" s="5"/>
      <c r="C317" s="5"/>
      <c r="D317" s="5"/>
      <c r="E317" s="26"/>
      <c r="F317" s="27"/>
      <c r="G317" s="26"/>
      <c r="H317" s="27"/>
    </row>
    <row r="318">
      <c r="A318" s="25"/>
      <c r="B318" s="5"/>
      <c r="C318" s="5"/>
      <c r="D318" s="5"/>
      <c r="E318" s="26"/>
      <c r="F318" s="27"/>
      <c r="G318" s="26"/>
      <c r="H318" s="27"/>
    </row>
    <row r="319">
      <c r="A319" s="25"/>
      <c r="B319" s="5"/>
      <c r="C319" s="5"/>
      <c r="D319" s="5"/>
      <c r="E319" s="26"/>
      <c r="F319" s="27"/>
      <c r="G319" s="26"/>
      <c r="H319" s="27"/>
    </row>
    <row r="320">
      <c r="A320" s="25"/>
      <c r="B320" s="5"/>
      <c r="C320" s="5"/>
      <c r="D320" s="5"/>
      <c r="E320" s="26"/>
      <c r="F320" s="27"/>
      <c r="G320" s="26"/>
      <c r="H320" s="27"/>
    </row>
    <row r="321">
      <c r="A321" s="25"/>
      <c r="B321" s="5"/>
      <c r="C321" s="5"/>
      <c r="D321" s="5"/>
      <c r="E321" s="26"/>
      <c r="F321" s="27"/>
      <c r="G321" s="26"/>
      <c r="H321" s="27"/>
    </row>
    <row r="322">
      <c r="A322" s="25"/>
      <c r="B322" s="5"/>
      <c r="C322" s="5"/>
      <c r="D322" s="5"/>
      <c r="E322" s="26"/>
      <c r="F322" s="27"/>
      <c r="G322" s="26"/>
      <c r="H322" s="27"/>
    </row>
    <row r="323">
      <c r="A323" s="25"/>
      <c r="B323" s="5"/>
      <c r="C323" s="5"/>
      <c r="D323" s="5"/>
      <c r="E323" s="26"/>
      <c r="F323" s="27"/>
      <c r="G323" s="26"/>
      <c r="H323" s="27"/>
    </row>
    <row r="324">
      <c r="A324" s="25"/>
      <c r="B324" s="5"/>
      <c r="C324" s="5"/>
      <c r="D324" s="5"/>
      <c r="E324" s="26"/>
      <c r="F324" s="27"/>
      <c r="G324" s="26"/>
      <c r="H324" s="27"/>
    </row>
    <row r="325">
      <c r="A325" s="25"/>
      <c r="B325" s="5"/>
      <c r="C325" s="5"/>
      <c r="D325" s="5"/>
      <c r="E325" s="26"/>
      <c r="F325" s="27"/>
      <c r="G325" s="26"/>
      <c r="H325" s="27"/>
    </row>
    <row r="326">
      <c r="A326" s="25"/>
      <c r="B326" s="5"/>
      <c r="C326" s="5"/>
      <c r="D326" s="5"/>
      <c r="E326" s="26"/>
      <c r="F326" s="27"/>
      <c r="G326" s="26"/>
      <c r="H326" s="27"/>
    </row>
    <row r="327">
      <c r="A327" s="25"/>
      <c r="B327" s="5"/>
      <c r="C327" s="5"/>
      <c r="D327" s="5"/>
      <c r="E327" s="26"/>
      <c r="F327" s="27"/>
      <c r="G327" s="26"/>
      <c r="H327" s="27"/>
    </row>
    <row r="328">
      <c r="A328" s="25"/>
      <c r="B328" s="5"/>
      <c r="C328" s="5"/>
      <c r="D328" s="5"/>
      <c r="E328" s="26"/>
      <c r="F328" s="27"/>
      <c r="G328" s="26"/>
      <c r="H328" s="27"/>
    </row>
    <row r="329">
      <c r="A329" s="25"/>
      <c r="B329" s="5"/>
      <c r="C329" s="5"/>
      <c r="D329" s="5"/>
      <c r="E329" s="26"/>
      <c r="F329" s="27"/>
      <c r="G329" s="26"/>
      <c r="H329" s="27"/>
    </row>
    <row r="330">
      <c r="A330" s="25"/>
      <c r="B330" s="5"/>
      <c r="C330" s="5"/>
      <c r="D330" s="5"/>
      <c r="E330" s="26"/>
      <c r="F330" s="27"/>
      <c r="G330" s="26"/>
      <c r="H330" s="27"/>
    </row>
    <row r="331">
      <c r="A331" s="25"/>
      <c r="B331" s="5"/>
      <c r="C331" s="5"/>
      <c r="D331" s="5"/>
      <c r="E331" s="26"/>
      <c r="F331" s="27"/>
      <c r="G331" s="26"/>
      <c r="H331" s="27"/>
    </row>
    <row r="332">
      <c r="A332" s="25"/>
      <c r="B332" s="5"/>
      <c r="C332" s="5"/>
      <c r="D332" s="5"/>
      <c r="E332" s="26"/>
      <c r="F332" s="27"/>
      <c r="G332" s="26"/>
      <c r="H332" s="27"/>
    </row>
    <row r="333">
      <c r="A333" s="25"/>
      <c r="B333" s="5"/>
      <c r="C333" s="5"/>
      <c r="D333" s="5"/>
      <c r="E333" s="26"/>
      <c r="F333" s="27"/>
      <c r="G333" s="26"/>
      <c r="H333" s="27"/>
    </row>
    <row r="334">
      <c r="A334" s="25"/>
      <c r="B334" s="5"/>
      <c r="C334" s="5"/>
      <c r="D334" s="5"/>
      <c r="E334" s="26"/>
      <c r="F334" s="27"/>
      <c r="G334" s="26"/>
      <c r="H334" s="27"/>
    </row>
    <row r="335">
      <c r="A335" s="25"/>
      <c r="B335" s="5"/>
      <c r="C335" s="5"/>
      <c r="D335" s="5"/>
      <c r="E335" s="26"/>
      <c r="F335" s="27"/>
      <c r="G335" s="26"/>
      <c r="H335" s="27"/>
    </row>
    <row r="336">
      <c r="A336" s="25"/>
      <c r="B336" s="5"/>
      <c r="C336" s="5"/>
      <c r="D336" s="5"/>
      <c r="E336" s="26"/>
      <c r="F336" s="27"/>
      <c r="G336" s="26"/>
      <c r="H336" s="27"/>
    </row>
    <row r="337">
      <c r="A337" s="25"/>
      <c r="B337" s="5"/>
      <c r="C337" s="5"/>
      <c r="D337" s="5"/>
      <c r="E337" s="26"/>
      <c r="F337" s="27"/>
      <c r="G337" s="26"/>
      <c r="H337" s="27"/>
    </row>
    <row r="338">
      <c r="A338" s="25"/>
      <c r="B338" s="5"/>
      <c r="C338" s="5"/>
      <c r="D338" s="5"/>
      <c r="E338" s="26"/>
      <c r="F338" s="27"/>
      <c r="G338" s="26"/>
      <c r="H338" s="27"/>
    </row>
    <row r="339">
      <c r="A339" s="25"/>
      <c r="B339" s="5"/>
      <c r="C339" s="5"/>
      <c r="D339" s="5"/>
      <c r="E339" s="26"/>
      <c r="F339" s="27"/>
      <c r="G339" s="26"/>
      <c r="H339" s="27"/>
    </row>
    <row r="340">
      <c r="A340" s="25"/>
      <c r="B340" s="5"/>
      <c r="C340" s="5"/>
      <c r="D340" s="5"/>
      <c r="E340" s="26"/>
      <c r="F340" s="27"/>
      <c r="G340" s="26"/>
      <c r="H340" s="27"/>
    </row>
    <row r="341">
      <c r="A341" s="25"/>
      <c r="B341" s="5"/>
      <c r="C341" s="5"/>
      <c r="D341" s="5"/>
      <c r="E341" s="26"/>
      <c r="F341" s="27"/>
      <c r="G341" s="26"/>
      <c r="H341" s="27"/>
    </row>
    <row r="342">
      <c r="A342" s="25"/>
      <c r="B342" s="5"/>
      <c r="C342" s="5"/>
      <c r="D342" s="5"/>
      <c r="E342" s="26"/>
      <c r="F342" s="27"/>
      <c r="G342" s="26"/>
      <c r="H342" s="27"/>
    </row>
    <row r="343">
      <c r="A343" s="25"/>
      <c r="B343" s="5"/>
      <c r="C343" s="5"/>
      <c r="D343" s="5"/>
      <c r="E343" s="26"/>
      <c r="F343" s="27"/>
      <c r="G343" s="26"/>
      <c r="H343" s="27"/>
    </row>
    <row r="344">
      <c r="A344" s="25"/>
      <c r="B344" s="5"/>
      <c r="C344" s="5"/>
      <c r="D344" s="5"/>
      <c r="E344" s="26"/>
      <c r="F344" s="27"/>
      <c r="G344" s="26"/>
      <c r="H344" s="27"/>
    </row>
    <row r="345">
      <c r="A345" s="25"/>
      <c r="B345" s="5"/>
      <c r="C345" s="5"/>
      <c r="D345" s="5"/>
      <c r="E345" s="26"/>
      <c r="F345" s="27"/>
      <c r="G345" s="26"/>
      <c r="H345" s="27"/>
    </row>
    <row r="346">
      <c r="A346" s="25"/>
      <c r="B346" s="5"/>
      <c r="C346" s="5"/>
      <c r="D346" s="5"/>
      <c r="E346" s="26"/>
      <c r="F346" s="27"/>
      <c r="G346" s="26"/>
      <c r="H346" s="27"/>
    </row>
    <row r="347">
      <c r="A347" s="25"/>
      <c r="B347" s="5"/>
      <c r="C347" s="5"/>
      <c r="D347" s="5"/>
      <c r="E347" s="26"/>
      <c r="F347" s="27"/>
      <c r="G347" s="26"/>
      <c r="H347" s="27"/>
    </row>
    <row r="348">
      <c r="A348" s="25"/>
      <c r="B348" s="5"/>
      <c r="C348" s="5"/>
      <c r="D348" s="5"/>
      <c r="E348" s="26"/>
      <c r="F348" s="27"/>
      <c r="G348" s="26"/>
      <c r="H348" s="27"/>
    </row>
    <row r="349">
      <c r="A349" s="25"/>
      <c r="B349" s="5"/>
      <c r="C349" s="5"/>
      <c r="D349" s="5"/>
      <c r="E349" s="26"/>
      <c r="F349" s="27"/>
      <c r="G349" s="26"/>
      <c r="H349" s="27"/>
    </row>
    <row r="350">
      <c r="A350" s="25"/>
      <c r="B350" s="5"/>
      <c r="C350" s="5"/>
      <c r="D350" s="5"/>
      <c r="E350" s="26"/>
      <c r="F350" s="27"/>
      <c r="G350" s="26"/>
      <c r="H350" s="27"/>
    </row>
    <row r="351">
      <c r="A351" s="25"/>
      <c r="B351" s="5"/>
      <c r="C351" s="5"/>
      <c r="D351" s="5"/>
      <c r="E351" s="26"/>
      <c r="F351" s="27"/>
      <c r="G351" s="26"/>
      <c r="H351" s="27"/>
    </row>
    <row r="352">
      <c r="A352" s="25"/>
      <c r="B352" s="5"/>
      <c r="C352" s="5"/>
      <c r="D352" s="5"/>
      <c r="E352" s="26"/>
      <c r="F352" s="27"/>
      <c r="G352" s="26"/>
      <c r="H352" s="27"/>
    </row>
    <row r="353">
      <c r="A353" s="25"/>
      <c r="B353" s="5"/>
      <c r="C353" s="5"/>
      <c r="D353" s="5"/>
      <c r="E353" s="26"/>
      <c r="F353" s="27"/>
      <c r="G353" s="26"/>
      <c r="H353" s="27"/>
    </row>
    <row r="354">
      <c r="A354" s="25"/>
      <c r="B354" s="5"/>
      <c r="C354" s="5"/>
      <c r="D354" s="5"/>
      <c r="E354" s="26"/>
      <c r="F354" s="27"/>
      <c r="G354" s="26"/>
      <c r="H354" s="27"/>
    </row>
    <row r="355">
      <c r="A355" s="25"/>
      <c r="B355" s="5"/>
      <c r="C355" s="5"/>
      <c r="D355" s="5"/>
      <c r="E355" s="26"/>
      <c r="F355" s="27"/>
      <c r="G355" s="26"/>
      <c r="H355" s="27"/>
    </row>
    <row r="356">
      <c r="A356" s="25"/>
      <c r="B356" s="5"/>
      <c r="C356" s="5"/>
      <c r="D356" s="5"/>
      <c r="E356" s="26"/>
      <c r="F356" s="27"/>
      <c r="G356" s="26"/>
      <c r="H356" s="27"/>
    </row>
    <row r="357">
      <c r="A357" s="25"/>
      <c r="B357" s="5"/>
      <c r="C357" s="5"/>
      <c r="D357" s="5"/>
      <c r="E357" s="26"/>
      <c r="F357" s="27"/>
      <c r="G357" s="26"/>
      <c r="H357" s="27"/>
    </row>
    <row r="358">
      <c r="A358" s="25"/>
      <c r="B358" s="5"/>
      <c r="C358" s="5"/>
      <c r="D358" s="5"/>
      <c r="E358" s="26"/>
      <c r="F358" s="27"/>
      <c r="G358" s="26"/>
      <c r="H358" s="27"/>
    </row>
    <row r="359">
      <c r="A359" s="24"/>
      <c r="B359" s="5"/>
      <c r="C359" s="5"/>
      <c r="D359" s="5"/>
      <c r="E359" s="26"/>
      <c r="F359" s="27"/>
      <c r="G359" s="26"/>
      <c r="H359" s="27"/>
    </row>
    <row r="360">
      <c r="A360" s="24"/>
      <c r="B360" s="5"/>
      <c r="C360" s="5"/>
      <c r="D360" s="5"/>
      <c r="E360" s="26"/>
      <c r="F360" s="27"/>
      <c r="G360" s="26"/>
      <c r="H360" s="27"/>
    </row>
    <row r="361">
      <c r="A361" s="24"/>
      <c r="B361" s="5"/>
      <c r="C361" s="5"/>
      <c r="D361" s="5"/>
      <c r="E361" s="26"/>
      <c r="F361" s="27"/>
      <c r="G361" s="26"/>
      <c r="H361" s="27"/>
    </row>
    <row r="362">
      <c r="A362" s="24"/>
      <c r="B362" s="5"/>
      <c r="C362" s="5"/>
      <c r="D362" s="5"/>
      <c r="E362" s="26"/>
      <c r="F362" s="27"/>
      <c r="G362" s="26"/>
      <c r="H362" s="27"/>
    </row>
    <row r="363">
      <c r="A363" s="24"/>
      <c r="B363" s="5"/>
      <c r="C363" s="5"/>
      <c r="D363" s="5"/>
      <c r="E363" s="26"/>
      <c r="F363" s="27"/>
      <c r="G363" s="26"/>
      <c r="H363" s="27"/>
    </row>
    <row r="364">
      <c r="A364" s="24"/>
      <c r="B364" s="5"/>
      <c r="C364" s="5"/>
      <c r="D364" s="5"/>
      <c r="E364" s="26"/>
      <c r="F364" s="27"/>
      <c r="G364" s="26"/>
      <c r="H364" s="27"/>
    </row>
    <row r="365">
      <c r="A365" s="24"/>
      <c r="B365" s="5"/>
      <c r="C365" s="5"/>
      <c r="D365" s="5"/>
      <c r="E365" s="26"/>
      <c r="F365" s="27"/>
      <c r="G365" s="26"/>
      <c r="H365" s="27"/>
    </row>
    <row r="366">
      <c r="A366" s="24"/>
      <c r="B366" s="5"/>
      <c r="C366" s="5"/>
      <c r="D366" s="5"/>
      <c r="E366" s="26"/>
      <c r="F366" s="27"/>
      <c r="G366" s="26"/>
      <c r="H366" s="27"/>
    </row>
    <row r="367">
      <c r="A367" s="24"/>
      <c r="B367" s="5"/>
      <c r="C367" s="5"/>
      <c r="D367" s="5"/>
      <c r="E367" s="26"/>
      <c r="F367" s="27"/>
      <c r="G367" s="26"/>
      <c r="H367" s="27"/>
    </row>
    <row r="368">
      <c r="A368" s="24"/>
      <c r="B368" s="5"/>
      <c r="C368" s="5"/>
      <c r="D368" s="5"/>
      <c r="E368" s="26"/>
      <c r="F368" s="27"/>
      <c r="G368" s="26"/>
      <c r="H368" s="27"/>
    </row>
    <row r="369">
      <c r="A369" s="24"/>
      <c r="B369" s="5"/>
      <c r="C369" s="5"/>
      <c r="D369" s="5"/>
      <c r="E369" s="26"/>
      <c r="F369" s="27"/>
      <c r="G369" s="26"/>
      <c r="H369" s="27"/>
    </row>
    <row r="370">
      <c r="A370" s="24"/>
      <c r="B370" s="5"/>
      <c r="C370" s="5"/>
      <c r="D370" s="5"/>
      <c r="E370" s="26"/>
      <c r="F370" s="27"/>
      <c r="G370" s="26"/>
      <c r="H370" s="27"/>
    </row>
    <row r="371">
      <c r="A371" s="24"/>
      <c r="B371" s="5"/>
      <c r="C371" s="5"/>
      <c r="D371" s="5"/>
      <c r="E371" s="26"/>
      <c r="F371" s="27"/>
      <c r="G371" s="26"/>
      <c r="H371" s="27"/>
    </row>
    <row r="372">
      <c r="A372" s="24"/>
      <c r="B372" s="5"/>
      <c r="C372" s="5"/>
      <c r="D372" s="5"/>
      <c r="E372" s="26"/>
      <c r="F372" s="27"/>
      <c r="G372" s="26"/>
      <c r="H372" s="27"/>
    </row>
    <row r="373">
      <c r="A373" s="24"/>
      <c r="B373" s="5"/>
      <c r="C373" s="5"/>
      <c r="D373" s="5"/>
      <c r="E373" s="26"/>
      <c r="F373" s="27"/>
      <c r="G373" s="26"/>
      <c r="H373" s="27"/>
    </row>
    <row r="374">
      <c r="A374" s="24"/>
      <c r="B374" s="5"/>
      <c r="C374" s="5"/>
      <c r="D374" s="5"/>
      <c r="E374" s="26"/>
      <c r="F374" s="27"/>
      <c r="G374" s="26"/>
      <c r="H374" s="27"/>
    </row>
    <row r="375">
      <c r="A375" s="24"/>
      <c r="B375" s="5"/>
      <c r="C375" s="5"/>
      <c r="D375" s="5"/>
      <c r="E375" s="26"/>
      <c r="F375" s="27"/>
      <c r="G375" s="26"/>
      <c r="H375" s="27"/>
    </row>
    <row r="376">
      <c r="A376" s="24"/>
      <c r="B376" s="5"/>
      <c r="C376" s="5"/>
      <c r="D376" s="5"/>
      <c r="E376" s="26"/>
      <c r="F376" s="27"/>
      <c r="G376" s="26"/>
      <c r="H376" s="27"/>
    </row>
    <row r="377">
      <c r="A377" s="24"/>
      <c r="B377" s="5"/>
      <c r="C377" s="5"/>
      <c r="D377" s="5"/>
      <c r="E377" s="26"/>
      <c r="F377" s="27"/>
      <c r="G377" s="26"/>
      <c r="H377" s="27"/>
    </row>
    <row r="378">
      <c r="A378" s="24"/>
      <c r="B378" s="5"/>
      <c r="C378" s="5"/>
      <c r="D378" s="5"/>
      <c r="E378" s="26"/>
      <c r="F378" s="27"/>
      <c r="G378" s="26"/>
      <c r="H378" s="27"/>
    </row>
    <row r="379">
      <c r="A379" s="24"/>
      <c r="B379" s="5"/>
      <c r="C379" s="5"/>
      <c r="D379" s="5"/>
      <c r="E379" s="26"/>
      <c r="F379" s="27"/>
      <c r="G379" s="26"/>
      <c r="H379" s="27"/>
    </row>
    <row r="380">
      <c r="A380" s="24"/>
      <c r="B380" s="5"/>
      <c r="C380" s="5"/>
      <c r="D380" s="5"/>
      <c r="E380" s="26"/>
      <c r="F380" s="27"/>
      <c r="G380" s="26"/>
      <c r="H380" s="27"/>
    </row>
    <row r="381">
      <c r="A381" s="24"/>
      <c r="B381" s="5"/>
      <c r="C381" s="5"/>
      <c r="D381" s="5"/>
      <c r="E381" s="26"/>
      <c r="F381" s="27"/>
      <c r="G381" s="26"/>
      <c r="H381" s="27"/>
    </row>
    <row r="382">
      <c r="A382" s="24"/>
      <c r="B382" s="5"/>
      <c r="C382" s="5"/>
      <c r="D382" s="5"/>
      <c r="E382" s="26"/>
      <c r="F382" s="27"/>
      <c r="G382" s="26"/>
      <c r="H382" s="27"/>
    </row>
    <row r="383">
      <c r="A383" s="24"/>
      <c r="B383" s="5"/>
      <c r="C383" s="5"/>
      <c r="D383" s="5"/>
      <c r="E383" s="26"/>
      <c r="F383" s="27"/>
      <c r="G383" s="26"/>
      <c r="H383" s="27"/>
    </row>
    <row r="384">
      <c r="A384" s="24"/>
      <c r="B384" s="5"/>
      <c r="C384" s="5"/>
      <c r="D384" s="5"/>
      <c r="E384" s="26"/>
      <c r="F384" s="27"/>
      <c r="G384" s="26"/>
      <c r="H384" s="27"/>
    </row>
    <row r="385">
      <c r="A385" s="24"/>
      <c r="B385" s="5"/>
      <c r="C385" s="5"/>
      <c r="D385" s="5"/>
      <c r="E385" s="26"/>
      <c r="F385" s="27"/>
      <c r="G385" s="26"/>
      <c r="H385" s="27"/>
    </row>
    <row r="386">
      <c r="A386" s="24"/>
      <c r="B386" s="5"/>
      <c r="C386" s="5"/>
      <c r="D386" s="5"/>
      <c r="E386" s="26"/>
      <c r="F386" s="27"/>
      <c r="G386" s="26"/>
      <c r="H386" s="27"/>
    </row>
    <row r="387">
      <c r="A387" s="24"/>
      <c r="B387" s="5"/>
      <c r="C387" s="5"/>
      <c r="D387" s="5"/>
      <c r="E387" s="26"/>
      <c r="F387" s="27"/>
      <c r="G387" s="26"/>
      <c r="H387" s="27"/>
    </row>
    <row r="388">
      <c r="A388" s="24"/>
      <c r="B388" s="5"/>
      <c r="C388" s="5"/>
      <c r="D388" s="5"/>
      <c r="E388" s="26"/>
      <c r="F388" s="27"/>
      <c r="G388" s="26"/>
      <c r="H388" s="27"/>
    </row>
    <row r="389">
      <c r="A389" s="24"/>
      <c r="B389" s="5"/>
      <c r="C389" s="5"/>
      <c r="D389" s="5"/>
      <c r="E389" s="26"/>
      <c r="F389" s="27"/>
      <c r="G389" s="26"/>
      <c r="H389" s="27"/>
    </row>
    <row r="390">
      <c r="A390" s="24"/>
      <c r="B390" s="5"/>
      <c r="C390" s="5"/>
      <c r="D390" s="5"/>
      <c r="E390" s="26"/>
      <c r="F390" s="27"/>
      <c r="G390" s="26"/>
      <c r="H390" s="27"/>
    </row>
    <row r="391">
      <c r="A391" s="24"/>
      <c r="B391" s="5"/>
      <c r="C391" s="5"/>
      <c r="D391" s="5"/>
      <c r="E391" s="26"/>
      <c r="F391" s="27"/>
      <c r="G391" s="26"/>
      <c r="H391" s="27"/>
    </row>
    <row r="392">
      <c r="A392" s="24"/>
      <c r="B392" s="5"/>
      <c r="C392" s="5"/>
      <c r="D392" s="5"/>
      <c r="E392" s="26"/>
      <c r="F392" s="27"/>
      <c r="G392" s="26"/>
      <c r="H392" s="27"/>
    </row>
    <row r="393">
      <c r="A393" s="24"/>
      <c r="B393" s="5"/>
      <c r="C393" s="5"/>
      <c r="D393" s="5"/>
      <c r="E393" s="26"/>
      <c r="F393" s="27"/>
      <c r="G393" s="26"/>
      <c r="H393" s="27"/>
    </row>
    <row r="394">
      <c r="A394" s="24"/>
      <c r="B394" s="5"/>
      <c r="C394" s="5"/>
      <c r="D394" s="5"/>
      <c r="E394" s="26"/>
      <c r="F394" s="27"/>
      <c r="G394" s="26"/>
      <c r="H394" s="27"/>
    </row>
    <row r="395">
      <c r="A395" s="24"/>
      <c r="B395" s="5"/>
      <c r="C395" s="5"/>
      <c r="D395" s="5"/>
      <c r="E395" s="26"/>
      <c r="F395" s="27"/>
      <c r="G395" s="26"/>
      <c r="H395" s="27"/>
    </row>
    <row r="396">
      <c r="A396" s="24"/>
      <c r="B396" s="5"/>
      <c r="C396" s="5"/>
      <c r="D396" s="5"/>
      <c r="E396" s="26"/>
      <c r="F396" s="27"/>
      <c r="G396" s="26"/>
      <c r="H396" s="27"/>
    </row>
    <row r="397">
      <c r="A397" s="24"/>
      <c r="B397" s="5"/>
      <c r="C397" s="5"/>
      <c r="D397" s="5"/>
      <c r="E397" s="26"/>
      <c r="F397" s="27"/>
      <c r="G397" s="26"/>
      <c r="H397" s="27"/>
    </row>
    <row r="398">
      <c r="A398" s="24"/>
      <c r="B398" s="5"/>
      <c r="C398" s="5"/>
      <c r="D398" s="5"/>
      <c r="E398" s="26"/>
      <c r="F398" s="27"/>
      <c r="G398" s="26"/>
      <c r="H398" s="27"/>
    </row>
    <row r="399">
      <c r="A399" s="24"/>
      <c r="B399" s="5"/>
      <c r="C399" s="5"/>
      <c r="D399" s="5"/>
      <c r="E399" s="26"/>
      <c r="F399" s="27"/>
      <c r="G399" s="26"/>
      <c r="H399" s="27"/>
    </row>
    <row r="400">
      <c r="A400" s="24"/>
      <c r="B400" s="5"/>
      <c r="C400" s="5"/>
      <c r="D400" s="5"/>
      <c r="E400" s="26"/>
      <c r="F400" s="27"/>
      <c r="G400" s="26"/>
      <c r="H400" s="27"/>
    </row>
    <row r="401">
      <c r="A401" s="24"/>
      <c r="B401" s="5"/>
      <c r="C401" s="5"/>
      <c r="D401" s="5"/>
      <c r="E401" s="26"/>
      <c r="F401" s="27"/>
      <c r="G401" s="26"/>
      <c r="H401" s="27"/>
    </row>
    <row r="402">
      <c r="A402" s="24"/>
      <c r="B402" s="5"/>
      <c r="C402" s="5"/>
      <c r="D402" s="5"/>
      <c r="E402" s="26"/>
      <c r="F402" s="27"/>
      <c r="G402" s="26"/>
      <c r="H402" s="27"/>
    </row>
    <row r="403">
      <c r="A403" s="24"/>
      <c r="B403" s="5"/>
      <c r="C403" s="5"/>
      <c r="D403" s="5"/>
      <c r="E403" s="26"/>
      <c r="F403" s="27"/>
      <c r="G403" s="26"/>
      <c r="H403" s="27"/>
    </row>
    <row r="404">
      <c r="A404" s="24"/>
      <c r="B404" s="5"/>
      <c r="C404" s="5"/>
      <c r="D404" s="5"/>
      <c r="E404" s="26"/>
      <c r="F404" s="27"/>
      <c r="G404" s="26"/>
      <c r="H404" s="27"/>
    </row>
    <row r="405">
      <c r="A405" s="24"/>
      <c r="B405" s="5"/>
      <c r="C405" s="5"/>
      <c r="D405" s="5"/>
      <c r="E405" s="26"/>
      <c r="F405" s="27"/>
      <c r="G405" s="26"/>
      <c r="H405" s="27"/>
    </row>
    <row r="406">
      <c r="A406" s="24"/>
      <c r="B406" s="5"/>
      <c r="C406" s="5"/>
      <c r="D406" s="5"/>
      <c r="E406" s="26"/>
      <c r="F406" s="27"/>
      <c r="G406" s="26"/>
      <c r="H406" s="27"/>
    </row>
    <row r="407">
      <c r="A407" s="24"/>
      <c r="B407" s="5"/>
      <c r="C407" s="5"/>
      <c r="D407" s="5"/>
      <c r="E407" s="26"/>
      <c r="F407" s="27"/>
      <c r="G407" s="26"/>
      <c r="H407" s="27"/>
    </row>
    <row r="408">
      <c r="A408" s="24"/>
      <c r="B408" s="5"/>
      <c r="C408" s="5"/>
      <c r="D408" s="5"/>
      <c r="E408" s="26"/>
      <c r="F408" s="27"/>
      <c r="G408" s="26"/>
      <c r="H408" s="27"/>
    </row>
    <row r="409">
      <c r="A409" s="24"/>
      <c r="B409" s="5"/>
      <c r="C409" s="5"/>
      <c r="D409" s="5"/>
      <c r="E409" s="26"/>
      <c r="F409" s="27"/>
      <c r="G409" s="26"/>
      <c r="H409" s="27"/>
    </row>
    <row r="410">
      <c r="A410" s="24"/>
      <c r="B410" s="5"/>
      <c r="C410" s="5"/>
      <c r="D410" s="5"/>
      <c r="E410" s="26"/>
      <c r="F410" s="27"/>
      <c r="G410" s="26"/>
      <c r="H410" s="27"/>
    </row>
    <row r="411">
      <c r="A411" s="24"/>
      <c r="B411" s="5"/>
      <c r="C411" s="5"/>
      <c r="D411" s="5"/>
      <c r="E411" s="26"/>
      <c r="F411" s="27"/>
      <c r="G411" s="26"/>
      <c r="H411" s="27"/>
    </row>
    <row r="412">
      <c r="A412" s="24"/>
      <c r="B412" s="5"/>
      <c r="C412" s="5"/>
      <c r="D412" s="5"/>
      <c r="E412" s="26"/>
      <c r="F412" s="27"/>
      <c r="G412" s="26"/>
      <c r="H412" s="27"/>
    </row>
    <row r="413">
      <c r="A413" s="24"/>
      <c r="B413" s="5"/>
      <c r="C413" s="5"/>
      <c r="D413" s="5"/>
      <c r="E413" s="26"/>
      <c r="F413" s="27"/>
      <c r="G413" s="26"/>
      <c r="H413" s="27"/>
    </row>
    <row r="414">
      <c r="A414" s="24"/>
      <c r="B414" s="5"/>
      <c r="C414" s="5"/>
      <c r="D414" s="5"/>
      <c r="E414" s="26"/>
      <c r="F414" s="27"/>
      <c r="G414" s="26"/>
      <c r="H414" s="27"/>
    </row>
    <row r="415">
      <c r="A415" s="24"/>
      <c r="B415" s="5"/>
      <c r="C415" s="5"/>
      <c r="D415" s="5"/>
      <c r="E415" s="26"/>
      <c r="F415" s="27"/>
      <c r="G415" s="26"/>
      <c r="H415" s="27"/>
    </row>
    <row r="416">
      <c r="A416" s="24"/>
      <c r="B416" s="5"/>
      <c r="C416" s="5"/>
      <c r="D416" s="5"/>
      <c r="E416" s="26"/>
      <c r="F416" s="27"/>
      <c r="G416" s="26"/>
      <c r="H416" s="27"/>
    </row>
    <row r="417">
      <c r="A417" s="24"/>
      <c r="B417" s="5"/>
      <c r="C417" s="5"/>
      <c r="D417" s="5"/>
      <c r="E417" s="26"/>
      <c r="F417" s="27"/>
      <c r="G417" s="26"/>
      <c r="H417" s="27"/>
    </row>
    <row r="418">
      <c r="A418" s="24"/>
      <c r="B418" s="5"/>
      <c r="C418" s="5"/>
      <c r="D418" s="5"/>
      <c r="E418" s="26"/>
      <c r="F418" s="27"/>
      <c r="G418" s="26"/>
      <c r="H418" s="27"/>
    </row>
    <row r="419">
      <c r="A419" s="24"/>
      <c r="B419" s="5"/>
      <c r="C419" s="5"/>
      <c r="D419" s="5"/>
      <c r="E419" s="26"/>
      <c r="F419" s="27"/>
      <c r="G419" s="26"/>
      <c r="H419" s="27"/>
    </row>
    <row r="420">
      <c r="A420" s="24"/>
      <c r="B420" s="5"/>
      <c r="C420" s="5"/>
      <c r="D420" s="5"/>
      <c r="E420" s="26"/>
      <c r="F420" s="27"/>
      <c r="G420" s="26"/>
      <c r="H420" s="27"/>
    </row>
    <row r="421">
      <c r="A421" s="24"/>
      <c r="B421" s="5"/>
      <c r="C421" s="5"/>
      <c r="D421" s="5"/>
      <c r="E421" s="26"/>
      <c r="F421" s="27"/>
      <c r="G421" s="26"/>
      <c r="H421" s="27"/>
    </row>
    <row r="422">
      <c r="A422" s="24"/>
      <c r="B422" s="5"/>
      <c r="C422" s="5"/>
      <c r="D422" s="5"/>
      <c r="E422" s="26"/>
      <c r="F422" s="27"/>
      <c r="G422" s="26"/>
      <c r="H422" s="27"/>
    </row>
    <row r="423">
      <c r="A423" s="24"/>
      <c r="B423" s="5"/>
      <c r="C423" s="5"/>
      <c r="D423" s="5"/>
      <c r="E423" s="26"/>
      <c r="F423" s="27"/>
      <c r="G423" s="26"/>
      <c r="H423" s="27"/>
    </row>
    <row r="424">
      <c r="A424" s="24"/>
      <c r="B424" s="5"/>
      <c r="C424" s="5"/>
      <c r="D424" s="5"/>
      <c r="E424" s="26"/>
      <c r="F424" s="27"/>
      <c r="G424" s="26"/>
      <c r="H424" s="27"/>
    </row>
    <row r="425">
      <c r="A425" s="24"/>
      <c r="B425" s="5"/>
      <c r="C425" s="5"/>
      <c r="D425" s="5"/>
      <c r="E425" s="26"/>
      <c r="F425" s="27"/>
      <c r="G425" s="26"/>
      <c r="H425" s="27"/>
    </row>
    <row r="426">
      <c r="A426" s="24"/>
      <c r="B426" s="5"/>
      <c r="C426" s="5"/>
      <c r="D426" s="5"/>
      <c r="E426" s="26"/>
      <c r="F426" s="27"/>
      <c r="G426" s="26"/>
      <c r="H426" s="27"/>
    </row>
    <row r="427">
      <c r="A427" s="24"/>
      <c r="B427" s="5"/>
      <c r="C427" s="5"/>
      <c r="D427" s="5"/>
      <c r="E427" s="26"/>
      <c r="F427" s="27"/>
      <c r="G427" s="26"/>
      <c r="H427" s="27"/>
    </row>
    <row r="428">
      <c r="A428" s="24"/>
      <c r="B428" s="5"/>
      <c r="C428" s="5"/>
      <c r="D428" s="5"/>
      <c r="E428" s="26"/>
      <c r="F428" s="27"/>
      <c r="G428" s="26"/>
      <c r="H428" s="27"/>
    </row>
    <row r="429">
      <c r="A429" s="24"/>
      <c r="B429" s="5"/>
      <c r="C429" s="5"/>
      <c r="D429" s="5"/>
      <c r="E429" s="26"/>
      <c r="F429" s="27"/>
      <c r="G429" s="26"/>
      <c r="H429" s="27"/>
    </row>
    <row r="430">
      <c r="A430" s="24"/>
      <c r="B430" s="5"/>
      <c r="C430" s="5"/>
      <c r="D430" s="5"/>
      <c r="E430" s="26"/>
      <c r="F430" s="27"/>
      <c r="G430" s="26"/>
      <c r="H430" s="27"/>
    </row>
    <row r="431">
      <c r="A431" s="24"/>
      <c r="B431" s="5"/>
      <c r="C431" s="5"/>
      <c r="D431" s="5"/>
      <c r="E431" s="26"/>
      <c r="F431" s="27"/>
      <c r="G431" s="26"/>
      <c r="H431" s="27"/>
    </row>
    <row r="432">
      <c r="A432" s="24"/>
      <c r="B432" s="5"/>
      <c r="C432" s="5"/>
      <c r="D432" s="5"/>
      <c r="E432" s="26"/>
      <c r="F432" s="27"/>
      <c r="G432" s="26"/>
      <c r="H432" s="27"/>
    </row>
    <row r="433">
      <c r="A433" s="24"/>
      <c r="B433" s="5"/>
      <c r="C433" s="5"/>
      <c r="D433" s="5"/>
      <c r="E433" s="26"/>
      <c r="F433" s="27"/>
      <c r="G433" s="26"/>
      <c r="H433" s="27"/>
    </row>
    <row r="434">
      <c r="A434" s="24"/>
      <c r="B434" s="5"/>
      <c r="C434" s="5"/>
      <c r="D434" s="5"/>
      <c r="E434" s="26"/>
      <c r="F434" s="27"/>
      <c r="G434" s="26"/>
      <c r="H434" s="27"/>
    </row>
    <row r="435">
      <c r="A435" s="24"/>
      <c r="B435" s="5"/>
      <c r="C435" s="5"/>
      <c r="D435" s="5"/>
      <c r="E435" s="26"/>
      <c r="F435" s="27"/>
      <c r="G435" s="26"/>
      <c r="H435" s="27"/>
    </row>
    <row r="436">
      <c r="A436" s="24"/>
      <c r="B436" s="5"/>
      <c r="C436" s="5"/>
      <c r="D436" s="5"/>
      <c r="E436" s="26"/>
      <c r="F436" s="27"/>
      <c r="G436" s="26"/>
      <c r="H436" s="27"/>
    </row>
    <row r="437">
      <c r="A437" s="24"/>
      <c r="B437" s="5"/>
      <c r="C437" s="5"/>
      <c r="D437" s="5"/>
      <c r="E437" s="26"/>
      <c r="F437" s="27"/>
      <c r="G437" s="26"/>
      <c r="H437" s="27"/>
    </row>
    <row r="438">
      <c r="A438" s="24"/>
      <c r="B438" s="5"/>
      <c r="C438" s="5"/>
      <c r="D438" s="5"/>
      <c r="E438" s="26"/>
      <c r="F438" s="27"/>
      <c r="G438" s="26"/>
      <c r="H438" s="27"/>
    </row>
    <row r="439">
      <c r="A439" s="24"/>
      <c r="B439" s="5"/>
      <c r="C439" s="5"/>
      <c r="D439" s="5"/>
      <c r="E439" s="26"/>
      <c r="F439" s="27"/>
      <c r="G439" s="26"/>
      <c r="H439" s="27"/>
    </row>
    <row r="440">
      <c r="A440" s="24"/>
      <c r="B440" s="5"/>
      <c r="C440" s="5"/>
      <c r="D440" s="5"/>
      <c r="E440" s="26"/>
      <c r="F440" s="27"/>
      <c r="G440" s="26"/>
      <c r="H440" s="27"/>
    </row>
    <row r="441">
      <c r="A441" s="24"/>
      <c r="B441" s="5"/>
      <c r="C441" s="5"/>
      <c r="D441" s="5"/>
      <c r="E441" s="26"/>
      <c r="F441" s="27"/>
      <c r="G441" s="26"/>
      <c r="H441" s="27"/>
    </row>
    <row r="442">
      <c r="A442" s="24"/>
      <c r="B442" s="5"/>
      <c r="C442" s="5"/>
      <c r="D442" s="5"/>
      <c r="E442" s="26"/>
      <c r="F442" s="27"/>
      <c r="G442" s="26"/>
      <c r="H442" s="27"/>
    </row>
    <row r="443">
      <c r="A443" s="24"/>
      <c r="B443" s="5"/>
      <c r="C443" s="5"/>
      <c r="D443" s="5"/>
      <c r="E443" s="26"/>
      <c r="F443" s="27"/>
      <c r="G443" s="26"/>
      <c r="H443" s="27"/>
    </row>
    <row r="444">
      <c r="A444" s="24"/>
      <c r="B444" s="5"/>
      <c r="C444" s="5"/>
      <c r="D444" s="5"/>
      <c r="E444" s="26"/>
      <c r="F444" s="27"/>
      <c r="G444" s="26"/>
      <c r="H444" s="27"/>
    </row>
    <row r="445">
      <c r="A445" s="24"/>
      <c r="B445" s="5"/>
      <c r="C445" s="5"/>
      <c r="D445" s="5"/>
      <c r="E445" s="26"/>
      <c r="F445" s="27"/>
      <c r="G445" s="26"/>
      <c r="H445" s="27"/>
    </row>
    <row r="446">
      <c r="A446" s="24"/>
      <c r="B446" s="5"/>
      <c r="C446" s="5"/>
      <c r="D446" s="5"/>
      <c r="E446" s="26"/>
      <c r="F446" s="27"/>
      <c r="G446" s="26"/>
      <c r="H446" s="27"/>
    </row>
    <row r="447">
      <c r="A447" s="24"/>
      <c r="B447" s="5"/>
      <c r="C447" s="5"/>
      <c r="D447" s="5"/>
      <c r="E447" s="26"/>
      <c r="F447" s="27"/>
      <c r="G447" s="26"/>
      <c r="H447" s="27"/>
    </row>
    <row r="448">
      <c r="A448" s="24"/>
      <c r="B448" s="5"/>
      <c r="C448" s="5"/>
      <c r="D448" s="5"/>
      <c r="E448" s="26"/>
      <c r="F448" s="27"/>
      <c r="G448" s="26"/>
      <c r="H448" s="27"/>
    </row>
    <row r="449">
      <c r="A449" s="24"/>
      <c r="B449" s="5"/>
      <c r="C449" s="5"/>
      <c r="D449" s="5"/>
      <c r="E449" s="26"/>
      <c r="F449" s="27"/>
      <c r="G449" s="26"/>
      <c r="H449" s="27"/>
    </row>
    <row r="450">
      <c r="A450" s="24"/>
      <c r="B450" s="5"/>
      <c r="C450" s="5"/>
      <c r="D450" s="5"/>
      <c r="E450" s="26"/>
      <c r="F450" s="27"/>
      <c r="G450" s="26"/>
      <c r="H450" s="27"/>
    </row>
    <row r="451">
      <c r="A451" s="24"/>
      <c r="B451" s="5"/>
      <c r="C451" s="5"/>
      <c r="D451" s="5"/>
      <c r="E451" s="26"/>
      <c r="F451" s="27"/>
      <c r="G451" s="26"/>
      <c r="H451" s="27"/>
    </row>
    <row r="452">
      <c r="A452" s="24"/>
      <c r="B452" s="5"/>
      <c r="C452" s="5"/>
      <c r="D452" s="5"/>
      <c r="E452" s="26"/>
      <c r="F452" s="27"/>
      <c r="G452" s="26"/>
      <c r="H452" s="27"/>
    </row>
    <row r="453">
      <c r="A453" s="24"/>
      <c r="B453" s="5"/>
      <c r="C453" s="5"/>
      <c r="D453" s="5"/>
      <c r="E453" s="26"/>
      <c r="F453" s="27"/>
      <c r="G453" s="26"/>
      <c r="H453" s="27"/>
    </row>
    <row r="454">
      <c r="A454" s="24"/>
      <c r="B454" s="5"/>
      <c r="C454" s="5"/>
      <c r="D454" s="5"/>
      <c r="E454" s="26"/>
      <c r="F454" s="27"/>
      <c r="G454" s="26"/>
      <c r="H454" s="27"/>
    </row>
    <row r="455">
      <c r="A455" s="24"/>
      <c r="B455" s="5"/>
      <c r="C455" s="5"/>
      <c r="D455" s="5"/>
      <c r="E455" s="26"/>
      <c r="F455" s="27"/>
      <c r="G455" s="26"/>
      <c r="H455" s="27"/>
    </row>
    <row r="456">
      <c r="A456" s="24"/>
      <c r="B456" s="5"/>
      <c r="C456" s="5"/>
      <c r="D456" s="5"/>
      <c r="E456" s="26"/>
      <c r="F456" s="27"/>
      <c r="G456" s="26"/>
      <c r="H456" s="27"/>
    </row>
    <row r="457">
      <c r="A457" s="24"/>
      <c r="B457" s="5"/>
      <c r="C457" s="5"/>
      <c r="D457" s="5"/>
      <c r="E457" s="26"/>
      <c r="F457" s="27"/>
      <c r="G457" s="26"/>
      <c r="H457" s="27"/>
    </row>
    <row r="458">
      <c r="A458" s="24"/>
      <c r="B458" s="5"/>
      <c r="C458" s="5"/>
      <c r="D458" s="5"/>
      <c r="E458" s="26"/>
      <c r="F458" s="27"/>
      <c r="G458" s="26"/>
      <c r="H458" s="27"/>
    </row>
    <row r="459">
      <c r="A459" s="24"/>
      <c r="B459" s="5"/>
      <c r="C459" s="5"/>
      <c r="D459" s="5"/>
      <c r="E459" s="26"/>
      <c r="F459" s="27"/>
      <c r="G459" s="26"/>
      <c r="H459" s="27"/>
    </row>
    <row r="460">
      <c r="A460" s="24"/>
      <c r="B460" s="5"/>
      <c r="C460" s="5"/>
      <c r="D460" s="5"/>
      <c r="E460" s="26"/>
      <c r="F460" s="27"/>
      <c r="G460" s="26"/>
      <c r="H460" s="27"/>
    </row>
    <row r="461">
      <c r="A461" s="24"/>
      <c r="B461" s="5"/>
      <c r="C461" s="5"/>
      <c r="D461" s="5"/>
      <c r="E461" s="26"/>
      <c r="F461" s="27"/>
      <c r="G461" s="26"/>
      <c r="H461" s="27"/>
    </row>
    <row r="462">
      <c r="A462" s="24"/>
      <c r="B462" s="5"/>
      <c r="C462" s="5"/>
      <c r="D462" s="5"/>
      <c r="E462" s="26"/>
      <c r="F462" s="27"/>
      <c r="G462" s="26"/>
      <c r="H462" s="27"/>
    </row>
    <row r="463">
      <c r="A463" s="24"/>
      <c r="B463" s="5"/>
      <c r="C463" s="5"/>
      <c r="D463" s="5"/>
      <c r="E463" s="26"/>
      <c r="F463" s="27"/>
      <c r="G463" s="26"/>
      <c r="H463" s="27"/>
    </row>
    <row r="464">
      <c r="A464" s="24"/>
      <c r="B464" s="5"/>
      <c r="C464" s="5"/>
      <c r="D464" s="5"/>
      <c r="E464" s="26"/>
      <c r="F464" s="27"/>
      <c r="G464" s="26"/>
      <c r="H464" s="27"/>
    </row>
    <row r="465">
      <c r="A465" s="24"/>
      <c r="B465" s="5"/>
      <c r="C465" s="5"/>
      <c r="D465" s="5"/>
      <c r="E465" s="26"/>
      <c r="F465" s="27"/>
      <c r="G465" s="26"/>
      <c r="H465" s="27"/>
    </row>
    <row r="466">
      <c r="A466" s="24"/>
      <c r="B466" s="5"/>
      <c r="C466" s="5"/>
      <c r="D466" s="5"/>
      <c r="E466" s="26"/>
      <c r="F466" s="27"/>
      <c r="G466" s="26"/>
      <c r="H466" s="27"/>
    </row>
    <row r="467">
      <c r="A467" s="24"/>
      <c r="B467" s="5"/>
      <c r="C467" s="5"/>
      <c r="D467" s="5"/>
      <c r="E467" s="26"/>
      <c r="F467" s="27"/>
      <c r="G467" s="26"/>
      <c r="H467" s="27"/>
    </row>
    <row r="468">
      <c r="A468" s="24"/>
      <c r="B468" s="5"/>
      <c r="C468" s="5"/>
      <c r="D468" s="5"/>
      <c r="E468" s="26"/>
      <c r="F468" s="27"/>
      <c r="G468" s="26"/>
      <c r="H468" s="27"/>
    </row>
    <row r="469">
      <c r="A469" s="24"/>
      <c r="B469" s="5"/>
      <c r="C469" s="5"/>
      <c r="D469" s="5"/>
      <c r="E469" s="26"/>
      <c r="F469" s="27"/>
      <c r="G469" s="26"/>
      <c r="H469" s="27"/>
    </row>
    <row r="470">
      <c r="A470" s="24"/>
      <c r="B470" s="5"/>
      <c r="C470" s="5"/>
      <c r="D470" s="5"/>
      <c r="E470" s="26"/>
      <c r="F470" s="27"/>
      <c r="G470" s="26"/>
      <c r="H470" s="27"/>
    </row>
    <row r="471">
      <c r="A471" s="24"/>
      <c r="B471" s="5"/>
      <c r="C471" s="5"/>
      <c r="D471" s="5"/>
      <c r="E471" s="26"/>
      <c r="F471" s="27"/>
      <c r="G471" s="26"/>
      <c r="H471" s="27"/>
    </row>
    <row r="472">
      <c r="A472" s="24"/>
      <c r="B472" s="5"/>
      <c r="C472" s="5"/>
      <c r="D472" s="5"/>
      <c r="E472" s="26"/>
      <c r="F472" s="27"/>
      <c r="G472" s="26"/>
      <c r="H472" s="27"/>
    </row>
    <row r="473">
      <c r="A473" s="24"/>
      <c r="B473" s="5"/>
      <c r="C473" s="5"/>
      <c r="D473" s="5"/>
      <c r="E473" s="26"/>
      <c r="F473" s="27"/>
      <c r="G473" s="26"/>
      <c r="H473" s="27"/>
    </row>
    <row r="474">
      <c r="A474" s="24"/>
      <c r="B474" s="5"/>
      <c r="C474" s="5"/>
      <c r="D474" s="5"/>
      <c r="E474" s="26"/>
      <c r="F474" s="27"/>
      <c r="G474" s="26"/>
      <c r="H474" s="27"/>
    </row>
    <row r="475">
      <c r="A475" s="24"/>
      <c r="B475" s="5"/>
      <c r="C475" s="5"/>
      <c r="D475" s="5"/>
      <c r="E475" s="26"/>
      <c r="F475" s="27"/>
      <c r="G475" s="26"/>
      <c r="H475" s="27"/>
    </row>
    <row r="476">
      <c r="A476" s="24"/>
      <c r="B476" s="5"/>
      <c r="C476" s="5"/>
      <c r="D476" s="5"/>
      <c r="E476" s="26"/>
      <c r="F476" s="27"/>
      <c r="G476" s="26"/>
      <c r="H476" s="27"/>
    </row>
    <row r="477">
      <c r="A477" s="24"/>
      <c r="B477" s="5"/>
      <c r="C477" s="5"/>
      <c r="D477" s="5"/>
      <c r="E477" s="26"/>
      <c r="F477" s="27"/>
      <c r="G477" s="26"/>
      <c r="H477" s="27"/>
    </row>
    <row r="478">
      <c r="A478" s="24"/>
      <c r="B478" s="5"/>
      <c r="C478" s="5"/>
      <c r="D478" s="5"/>
      <c r="E478" s="26"/>
      <c r="F478" s="27"/>
      <c r="G478" s="26"/>
      <c r="H478" s="27"/>
    </row>
    <row r="479">
      <c r="A479" s="24"/>
      <c r="B479" s="5"/>
      <c r="C479" s="5"/>
      <c r="D479" s="5"/>
      <c r="E479" s="26"/>
      <c r="F479" s="27"/>
      <c r="G479" s="26"/>
      <c r="H479" s="27"/>
    </row>
    <row r="480">
      <c r="A480" s="24"/>
      <c r="B480" s="5"/>
      <c r="C480" s="5"/>
      <c r="D480" s="5"/>
      <c r="E480" s="26"/>
      <c r="F480" s="27"/>
      <c r="G480" s="26"/>
      <c r="H480" s="27"/>
    </row>
    <row r="481">
      <c r="A481" s="24"/>
      <c r="B481" s="5"/>
      <c r="C481" s="5"/>
      <c r="D481" s="5"/>
      <c r="E481" s="26"/>
      <c r="F481" s="27"/>
      <c r="G481" s="26"/>
      <c r="H481" s="27"/>
    </row>
    <row r="482">
      <c r="A482" s="24"/>
      <c r="B482" s="5"/>
      <c r="C482" s="5"/>
      <c r="D482" s="5"/>
      <c r="E482" s="26"/>
      <c r="F482" s="27"/>
      <c r="G482" s="26"/>
      <c r="H482" s="27"/>
    </row>
    <row r="483">
      <c r="A483" s="24"/>
      <c r="B483" s="5"/>
      <c r="C483" s="5"/>
      <c r="D483" s="5"/>
      <c r="E483" s="26"/>
      <c r="F483" s="27"/>
      <c r="G483" s="26"/>
      <c r="H483" s="27"/>
    </row>
    <row r="484">
      <c r="A484" s="24"/>
      <c r="B484" s="5"/>
      <c r="C484" s="5"/>
      <c r="D484" s="5"/>
      <c r="E484" s="26"/>
      <c r="F484" s="27"/>
      <c r="G484" s="26"/>
      <c r="H484" s="27"/>
    </row>
    <row r="485">
      <c r="A485" s="24"/>
      <c r="B485" s="5"/>
      <c r="C485" s="5"/>
      <c r="D485" s="5"/>
      <c r="E485" s="26"/>
      <c r="F485" s="27"/>
      <c r="G485" s="26"/>
      <c r="H485" s="27"/>
    </row>
    <row r="486">
      <c r="A486" s="24"/>
      <c r="B486" s="5"/>
      <c r="C486" s="5"/>
      <c r="D486" s="5"/>
      <c r="E486" s="26"/>
      <c r="F486" s="27"/>
      <c r="G486" s="26"/>
      <c r="H486" s="27"/>
    </row>
    <row r="487">
      <c r="A487" s="24"/>
      <c r="B487" s="5"/>
      <c r="C487" s="5"/>
      <c r="D487" s="5"/>
      <c r="E487" s="26"/>
      <c r="F487" s="27"/>
      <c r="G487" s="26"/>
      <c r="H487" s="27"/>
    </row>
    <row r="488">
      <c r="A488" s="24"/>
      <c r="B488" s="5"/>
      <c r="C488" s="5"/>
      <c r="D488" s="5"/>
      <c r="E488" s="26"/>
      <c r="F488" s="27"/>
      <c r="G488" s="26"/>
      <c r="H488" s="27"/>
    </row>
    <row r="489">
      <c r="A489" s="24"/>
      <c r="B489" s="5"/>
      <c r="C489" s="5"/>
      <c r="D489" s="5"/>
      <c r="E489" s="26"/>
      <c r="F489" s="27"/>
      <c r="G489" s="26"/>
      <c r="H489" s="27"/>
    </row>
    <row r="490">
      <c r="A490" s="24"/>
      <c r="B490" s="5"/>
      <c r="C490" s="5"/>
      <c r="D490" s="5"/>
      <c r="E490" s="26"/>
      <c r="F490" s="27"/>
      <c r="G490" s="26"/>
      <c r="H490" s="27"/>
    </row>
    <row r="491">
      <c r="A491" s="24"/>
      <c r="B491" s="5"/>
      <c r="C491" s="5"/>
      <c r="D491" s="5"/>
      <c r="E491" s="26"/>
      <c r="F491" s="27"/>
      <c r="G491" s="26"/>
      <c r="H491" s="27"/>
    </row>
    <row r="492">
      <c r="A492" s="24"/>
      <c r="B492" s="5"/>
      <c r="C492" s="5"/>
      <c r="D492" s="5"/>
      <c r="E492" s="26"/>
      <c r="F492" s="27"/>
      <c r="G492" s="26"/>
      <c r="H492" s="27"/>
    </row>
    <row r="493">
      <c r="A493" s="24"/>
      <c r="B493" s="5"/>
      <c r="C493" s="5"/>
      <c r="D493" s="5"/>
      <c r="E493" s="26"/>
      <c r="F493" s="27"/>
      <c r="G493" s="26"/>
      <c r="H493" s="27"/>
    </row>
    <row r="494">
      <c r="A494" s="24"/>
      <c r="B494" s="5"/>
      <c r="C494" s="5"/>
      <c r="D494" s="5"/>
      <c r="E494" s="26"/>
      <c r="F494" s="27"/>
      <c r="G494" s="26"/>
      <c r="H494" s="27"/>
    </row>
    <row r="495">
      <c r="A495" s="24"/>
      <c r="B495" s="5"/>
      <c r="C495" s="5"/>
      <c r="D495" s="5"/>
      <c r="E495" s="26"/>
      <c r="F495" s="27"/>
      <c r="G495" s="26"/>
      <c r="H495" s="27"/>
    </row>
    <row r="496">
      <c r="A496" s="24"/>
      <c r="B496" s="5"/>
      <c r="C496" s="5"/>
      <c r="D496" s="5"/>
      <c r="E496" s="26"/>
      <c r="F496" s="27"/>
      <c r="G496" s="26"/>
      <c r="H496" s="27"/>
    </row>
    <row r="497">
      <c r="A497" s="24"/>
      <c r="B497" s="5"/>
      <c r="C497" s="5"/>
      <c r="D497" s="5"/>
      <c r="E497" s="26"/>
      <c r="F497" s="27"/>
      <c r="G497" s="26"/>
      <c r="H497" s="27"/>
    </row>
    <row r="498">
      <c r="A498" s="24"/>
      <c r="B498" s="5"/>
      <c r="C498" s="5"/>
      <c r="D498" s="5"/>
      <c r="E498" s="26"/>
      <c r="F498" s="27"/>
      <c r="G498" s="26"/>
      <c r="H498" s="27"/>
    </row>
    <row r="499">
      <c r="A499" s="24"/>
      <c r="B499" s="5"/>
      <c r="C499" s="5"/>
      <c r="D499" s="5"/>
      <c r="E499" s="26"/>
      <c r="F499" s="27"/>
      <c r="G499" s="26"/>
      <c r="H499" s="27"/>
    </row>
    <row r="500">
      <c r="A500" s="24"/>
      <c r="B500" s="5"/>
      <c r="C500" s="5"/>
      <c r="D500" s="5"/>
      <c r="E500" s="26"/>
      <c r="F500" s="27"/>
      <c r="G500" s="26"/>
      <c r="H500" s="27"/>
    </row>
    <row r="501">
      <c r="A501" s="24"/>
      <c r="B501" s="5"/>
      <c r="C501" s="5"/>
      <c r="D501" s="5"/>
      <c r="E501" s="26"/>
      <c r="F501" s="27"/>
      <c r="G501" s="26"/>
      <c r="H501" s="27"/>
    </row>
    <row r="502">
      <c r="A502" s="24"/>
      <c r="B502" s="5"/>
      <c r="C502" s="5"/>
      <c r="D502" s="5"/>
      <c r="E502" s="26"/>
      <c r="F502" s="27"/>
      <c r="G502" s="26"/>
      <c r="H502" s="27"/>
    </row>
    <row r="503">
      <c r="A503" s="24"/>
      <c r="B503" s="5"/>
      <c r="C503" s="5"/>
      <c r="D503" s="5"/>
      <c r="E503" s="26"/>
      <c r="F503" s="27"/>
      <c r="G503" s="26"/>
      <c r="H503" s="27"/>
    </row>
    <row r="504">
      <c r="A504" s="24"/>
      <c r="B504" s="5"/>
      <c r="C504" s="5"/>
      <c r="D504" s="5"/>
      <c r="E504" s="26"/>
      <c r="F504" s="27"/>
      <c r="G504" s="26"/>
      <c r="H504" s="27"/>
    </row>
    <row r="505">
      <c r="A505" s="24"/>
      <c r="B505" s="5"/>
      <c r="C505" s="5"/>
      <c r="D505" s="5"/>
      <c r="E505" s="26"/>
      <c r="F505" s="27"/>
      <c r="G505" s="26"/>
      <c r="H505" s="27"/>
    </row>
    <row r="506">
      <c r="A506" s="24"/>
      <c r="B506" s="5"/>
      <c r="C506" s="5"/>
      <c r="D506" s="5"/>
      <c r="E506" s="26"/>
      <c r="F506" s="27"/>
      <c r="G506" s="26"/>
      <c r="H506" s="27"/>
    </row>
    <row r="507">
      <c r="A507" s="24"/>
      <c r="B507" s="5"/>
      <c r="C507" s="5"/>
      <c r="D507" s="5"/>
      <c r="E507" s="26"/>
      <c r="F507" s="27"/>
      <c r="G507" s="26"/>
      <c r="H507" s="27"/>
    </row>
    <row r="508">
      <c r="A508" s="24"/>
      <c r="B508" s="5"/>
      <c r="C508" s="5"/>
      <c r="D508" s="5"/>
      <c r="E508" s="26"/>
      <c r="F508" s="27"/>
      <c r="G508" s="26"/>
      <c r="H508" s="27"/>
    </row>
    <row r="509">
      <c r="A509" s="24"/>
      <c r="B509" s="5"/>
      <c r="C509" s="5"/>
      <c r="D509" s="5"/>
      <c r="E509" s="26"/>
      <c r="F509" s="27"/>
      <c r="G509" s="26"/>
      <c r="H509" s="27"/>
    </row>
    <row r="510">
      <c r="A510" s="24"/>
      <c r="B510" s="5"/>
      <c r="C510" s="5"/>
      <c r="D510" s="5"/>
      <c r="E510" s="26"/>
      <c r="F510" s="27"/>
      <c r="G510" s="26"/>
      <c r="H510" s="27"/>
    </row>
    <row r="511">
      <c r="A511" s="24"/>
      <c r="B511" s="5"/>
      <c r="C511" s="5"/>
      <c r="D511" s="5"/>
      <c r="E511" s="26"/>
      <c r="F511" s="27"/>
      <c r="G511" s="26"/>
      <c r="H511" s="27"/>
    </row>
    <row r="512">
      <c r="A512" s="24"/>
      <c r="B512" s="5"/>
      <c r="C512" s="5"/>
      <c r="D512" s="5"/>
      <c r="E512" s="26"/>
      <c r="F512" s="27"/>
      <c r="G512" s="26"/>
      <c r="H512" s="27"/>
    </row>
    <row r="513">
      <c r="A513" s="24"/>
      <c r="B513" s="5"/>
      <c r="C513" s="5"/>
      <c r="D513" s="5"/>
      <c r="E513" s="26"/>
      <c r="F513" s="27"/>
      <c r="G513" s="26"/>
      <c r="H513" s="27"/>
    </row>
    <row r="514">
      <c r="A514" s="24"/>
      <c r="B514" s="5"/>
      <c r="C514" s="5"/>
      <c r="D514" s="5"/>
      <c r="E514" s="26"/>
      <c r="F514" s="27"/>
      <c r="G514" s="26"/>
      <c r="H514" s="27"/>
    </row>
    <row r="515">
      <c r="A515" s="24"/>
      <c r="B515" s="5"/>
      <c r="C515" s="5"/>
      <c r="D515" s="5"/>
      <c r="E515" s="26"/>
      <c r="F515" s="27"/>
      <c r="G515" s="26"/>
      <c r="H515" s="27"/>
    </row>
    <row r="516">
      <c r="A516" s="24"/>
      <c r="B516" s="5"/>
      <c r="C516" s="5"/>
      <c r="D516" s="5"/>
      <c r="E516" s="26"/>
      <c r="F516" s="27"/>
      <c r="G516" s="26"/>
      <c r="H516" s="27"/>
    </row>
    <row r="517">
      <c r="A517" s="24"/>
      <c r="B517" s="5"/>
      <c r="C517" s="5"/>
      <c r="D517" s="5"/>
      <c r="E517" s="26"/>
      <c r="F517" s="27"/>
      <c r="G517" s="26"/>
      <c r="H517" s="27"/>
    </row>
    <row r="518">
      <c r="A518" s="24"/>
      <c r="B518" s="5"/>
      <c r="C518" s="5"/>
      <c r="D518" s="5"/>
      <c r="E518" s="26"/>
      <c r="F518" s="27"/>
      <c r="G518" s="26"/>
      <c r="H518" s="27"/>
    </row>
    <row r="519">
      <c r="A519" s="24"/>
      <c r="B519" s="5"/>
      <c r="C519" s="5"/>
      <c r="D519" s="5"/>
      <c r="E519" s="26"/>
      <c r="F519" s="27"/>
      <c r="G519" s="26"/>
      <c r="H519" s="27"/>
    </row>
    <row r="520">
      <c r="A520" s="24"/>
      <c r="B520" s="5"/>
      <c r="C520" s="5"/>
      <c r="D520" s="5"/>
      <c r="E520" s="26"/>
      <c r="F520" s="27"/>
      <c r="G520" s="26"/>
      <c r="H520" s="27"/>
    </row>
    <row r="521">
      <c r="A521" s="24"/>
      <c r="B521" s="5"/>
      <c r="C521" s="5"/>
      <c r="D521" s="5"/>
      <c r="E521" s="26"/>
      <c r="F521" s="27"/>
      <c r="G521" s="26"/>
      <c r="H521" s="27"/>
    </row>
    <row r="522">
      <c r="A522" s="24"/>
      <c r="B522" s="5"/>
      <c r="C522" s="5"/>
      <c r="D522" s="5"/>
      <c r="E522" s="26"/>
      <c r="F522" s="27"/>
      <c r="G522" s="26"/>
      <c r="H522" s="27"/>
    </row>
    <row r="523">
      <c r="A523" s="24"/>
      <c r="B523" s="5"/>
      <c r="C523" s="5"/>
      <c r="D523" s="5"/>
      <c r="E523" s="26"/>
      <c r="F523" s="27"/>
      <c r="G523" s="26"/>
      <c r="H523" s="27"/>
    </row>
    <row r="524">
      <c r="A524" s="24"/>
      <c r="B524" s="5"/>
      <c r="C524" s="5"/>
      <c r="D524" s="5"/>
      <c r="E524" s="26"/>
      <c r="F524" s="27"/>
      <c r="G524" s="26"/>
      <c r="H524" s="27"/>
    </row>
    <row r="525">
      <c r="A525" s="24"/>
      <c r="B525" s="5"/>
      <c r="C525" s="5"/>
      <c r="D525" s="5"/>
      <c r="E525" s="26"/>
      <c r="F525" s="27"/>
      <c r="G525" s="26"/>
      <c r="H525" s="27"/>
    </row>
    <row r="526">
      <c r="A526" s="24"/>
      <c r="B526" s="5"/>
      <c r="C526" s="5"/>
      <c r="D526" s="5"/>
      <c r="E526" s="26"/>
      <c r="F526" s="27"/>
      <c r="G526" s="26"/>
      <c r="H526" s="27"/>
    </row>
    <row r="527">
      <c r="A527" s="24"/>
      <c r="B527" s="5"/>
      <c r="C527" s="5"/>
      <c r="D527" s="5"/>
      <c r="E527" s="26"/>
      <c r="F527" s="27"/>
      <c r="G527" s="26"/>
      <c r="H527" s="27"/>
    </row>
    <row r="528">
      <c r="A528" s="24"/>
      <c r="B528" s="5"/>
      <c r="C528" s="5"/>
      <c r="D528" s="5"/>
      <c r="E528" s="26"/>
      <c r="F528" s="27"/>
      <c r="G528" s="26"/>
      <c r="H528" s="27"/>
    </row>
    <row r="529">
      <c r="A529" s="24"/>
      <c r="B529" s="5"/>
      <c r="C529" s="5"/>
      <c r="D529" s="5"/>
      <c r="E529" s="26"/>
      <c r="F529" s="27"/>
      <c r="G529" s="26"/>
      <c r="H529" s="27"/>
    </row>
    <row r="530">
      <c r="A530" s="24"/>
      <c r="B530" s="5"/>
      <c r="C530" s="5"/>
      <c r="D530" s="5"/>
      <c r="E530" s="26"/>
      <c r="F530" s="27"/>
      <c r="G530" s="26"/>
      <c r="H530" s="27"/>
    </row>
    <row r="531">
      <c r="A531" s="24"/>
      <c r="B531" s="5"/>
      <c r="C531" s="5"/>
      <c r="D531" s="5"/>
      <c r="E531" s="26"/>
      <c r="F531" s="27"/>
      <c r="G531" s="26"/>
      <c r="H531" s="27"/>
    </row>
    <row r="532">
      <c r="A532" s="24"/>
      <c r="B532" s="5"/>
      <c r="C532" s="5"/>
      <c r="D532" s="5"/>
      <c r="E532" s="26"/>
      <c r="F532" s="27"/>
      <c r="G532" s="26"/>
      <c r="H532" s="27"/>
    </row>
    <row r="533">
      <c r="A533" s="24"/>
      <c r="B533" s="5"/>
      <c r="C533" s="5"/>
      <c r="D533" s="5"/>
      <c r="E533" s="26"/>
      <c r="F533" s="27"/>
      <c r="G533" s="26"/>
      <c r="H533" s="27"/>
    </row>
    <row r="534">
      <c r="A534" s="24"/>
      <c r="B534" s="5"/>
      <c r="C534" s="5"/>
      <c r="D534" s="5"/>
      <c r="E534" s="26"/>
      <c r="F534" s="27"/>
      <c r="G534" s="26"/>
      <c r="H534" s="27"/>
    </row>
    <row r="535">
      <c r="A535" s="24"/>
      <c r="B535" s="5"/>
      <c r="C535" s="5"/>
      <c r="D535" s="5"/>
      <c r="E535" s="26"/>
      <c r="F535" s="27"/>
      <c r="G535" s="26"/>
      <c r="H535" s="27"/>
    </row>
    <row r="536">
      <c r="A536" s="24"/>
      <c r="B536" s="5"/>
      <c r="C536" s="5"/>
      <c r="D536" s="5"/>
      <c r="E536" s="26"/>
      <c r="F536" s="27"/>
      <c r="G536" s="26"/>
      <c r="H536" s="27"/>
    </row>
    <row r="537">
      <c r="A537" s="24"/>
      <c r="B537" s="5"/>
      <c r="C537" s="5"/>
      <c r="D537" s="5"/>
      <c r="E537" s="26"/>
      <c r="F537" s="27"/>
      <c r="G537" s="26"/>
      <c r="H537" s="27"/>
    </row>
    <row r="538">
      <c r="A538" s="24"/>
      <c r="B538" s="5"/>
      <c r="C538" s="5"/>
      <c r="D538" s="5"/>
      <c r="E538" s="26"/>
      <c r="F538" s="27"/>
      <c r="G538" s="26"/>
      <c r="H538" s="27"/>
    </row>
    <row r="539">
      <c r="A539" s="24"/>
      <c r="B539" s="5"/>
      <c r="C539" s="5"/>
      <c r="D539" s="5"/>
      <c r="E539" s="26"/>
      <c r="F539" s="27"/>
      <c r="G539" s="26"/>
      <c r="H539" s="27"/>
    </row>
    <row r="540">
      <c r="A540" s="24"/>
      <c r="B540" s="5"/>
      <c r="C540" s="5"/>
      <c r="D540" s="5"/>
      <c r="E540" s="26"/>
      <c r="F540" s="27"/>
      <c r="G540" s="26"/>
      <c r="H540" s="27"/>
    </row>
    <row r="541">
      <c r="A541" s="24"/>
      <c r="B541" s="5"/>
      <c r="C541" s="5"/>
      <c r="D541" s="5"/>
      <c r="E541" s="26"/>
      <c r="F541" s="27"/>
      <c r="G541" s="26"/>
      <c r="H541" s="27"/>
    </row>
    <row r="542">
      <c r="A542" s="24"/>
      <c r="B542" s="5"/>
      <c r="C542" s="5"/>
      <c r="D542" s="5"/>
      <c r="E542" s="26"/>
      <c r="F542" s="27"/>
      <c r="G542" s="26"/>
      <c r="H542" s="27"/>
    </row>
    <row r="543">
      <c r="A543" s="24"/>
      <c r="B543" s="5"/>
      <c r="C543" s="5"/>
      <c r="D543" s="5"/>
      <c r="E543" s="26"/>
      <c r="F543" s="27"/>
      <c r="G543" s="26"/>
      <c r="H543" s="27"/>
    </row>
    <row r="544">
      <c r="A544" s="24"/>
      <c r="B544" s="5"/>
      <c r="C544" s="5"/>
      <c r="D544" s="5"/>
      <c r="E544" s="26"/>
      <c r="F544" s="27"/>
      <c r="G544" s="26"/>
      <c r="H544" s="27"/>
    </row>
    <row r="545">
      <c r="A545" s="24"/>
      <c r="B545" s="5"/>
      <c r="C545" s="5"/>
      <c r="D545" s="5"/>
      <c r="E545" s="26"/>
      <c r="F545" s="27"/>
      <c r="G545" s="26"/>
      <c r="H545" s="27"/>
    </row>
    <row r="546">
      <c r="A546" s="24"/>
      <c r="B546" s="5"/>
      <c r="C546" s="5"/>
      <c r="D546" s="5"/>
      <c r="E546" s="26"/>
      <c r="F546" s="27"/>
      <c r="G546" s="26"/>
      <c r="H546" s="27"/>
    </row>
    <row r="547">
      <c r="A547" s="24"/>
      <c r="B547" s="5"/>
      <c r="C547" s="5"/>
      <c r="D547" s="5"/>
      <c r="E547" s="26"/>
      <c r="F547" s="27"/>
      <c r="G547" s="26"/>
      <c r="H547" s="27"/>
    </row>
    <row r="548">
      <c r="A548" s="24"/>
      <c r="B548" s="5"/>
      <c r="C548" s="5"/>
      <c r="D548" s="5"/>
      <c r="E548" s="26"/>
      <c r="F548" s="27"/>
      <c r="G548" s="26"/>
      <c r="H548" s="27"/>
    </row>
    <row r="549">
      <c r="A549" s="24"/>
      <c r="B549" s="5"/>
      <c r="C549" s="5"/>
      <c r="D549" s="5"/>
      <c r="E549" s="26"/>
      <c r="F549" s="27"/>
      <c r="G549" s="26"/>
      <c r="H549" s="27"/>
    </row>
    <row r="550">
      <c r="A550" s="24"/>
      <c r="B550" s="5"/>
      <c r="C550" s="5"/>
      <c r="D550" s="5"/>
      <c r="E550" s="26"/>
      <c r="F550" s="27"/>
      <c r="G550" s="26"/>
      <c r="H550" s="27"/>
    </row>
    <row r="551">
      <c r="A551" s="24"/>
      <c r="B551" s="5"/>
      <c r="C551" s="5"/>
      <c r="D551" s="5"/>
      <c r="E551" s="26"/>
      <c r="F551" s="27"/>
      <c r="G551" s="26"/>
      <c r="H551" s="27"/>
    </row>
    <row r="552">
      <c r="A552" s="24"/>
      <c r="B552" s="5"/>
      <c r="C552" s="5"/>
      <c r="D552" s="5"/>
      <c r="E552" s="26"/>
      <c r="F552" s="27"/>
      <c r="G552" s="26"/>
      <c r="H552" s="27"/>
    </row>
    <row r="553">
      <c r="A553" s="24"/>
      <c r="B553" s="5"/>
      <c r="C553" s="5"/>
      <c r="D553" s="5"/>
      <c r="E553" s="26"/>
      <c r="F553" s="27"/>
      <c r="G553" s="26"/>
      <c r="H553" s="27"/>
    </row>
    <row r="554">
      <c r="A554" s="24"/>
      <c r="B554" s="5"/>
      <c r="C554" s="5"/>
      <c r="D554" s="5"/>
      <c r="E554" s="26"/>
      <c r="F554" s="27"/>
      <c r="G554" s="26"/>
      <c r="H554" s="27"/>
    </row>
    <row r="555">
      <c r="A555" s="24"/>
      <c r="B555" s="5"/>
      <c r="C555" s="5"/>
      <c r="D555" s="5"/>
      <c r="E555" s="26"/>
      <c r="F555" s="27"/>
      <c r="G555" s="26"/>
      <c r="H555" s="27"/>
    </row>
    <row r="556">
      <c r="A556" s="24"/>
      <c r="B556" s="5"/>
      <c r="C556" s="5"/>
      <c r="D556" s="5"/>
      <c r="E556" s="26"/>
      <c r="F556" s="27"/>
      <c r="G556" s="26"/>
      <c r="H556" s="27"/>
    </row>
    <row r="557">
      <c r="A557" s="24"/>
      <c r="B557" s="5"/>
      <c r="C557" s="5"/>
      <c r="D557" s="5"/>
      <c r="E557" s="26"/>
      <c r="F557" s="27"/>
      <c r="G557" s="26"/>
      <c r="H557" s="27"/>
    </row>
    <row r="558">
      <c r="A558" s="24"/>
      <c r="B558" s="5"/>
      <c r="C558" s="5"/>
      <c r="D558" s="5"/>
      <c r="E558" s="26"/>
      <c r="F558" s="27"/>
      <c r="G558" s="26"/>
      <c r="H558" s="27"/>
    </row>
    <row r="559">
      <c r="A559" s="24"/>
      <c r="B559" s="5"/>
      <c r="C559" s="5"/>
      <c r="D559" s="5"/>
      <c r="E559" s="26"/>
      <c r="F559" s="27"/>
      <c r="G559" s="26"/>
      <c r="H559" s="27"/>
    </row>
    <row r="560">
      <c r="A560" s="24"/>
      <c r="B560" s="5"/>
      <c r="C560" s="5"/>
      <c r="D560" s="5"/>
      <c r="E560" s="26"/>
      <c r="F560" s="27"/>
      <c r="G560" s="26"/>
      <c r="H560" s="27"/>
    </row>
    <row r="561">
      <c r="A561" s="24"/>
      <c r="B561" s="5"/>
      <c r="C561" s="5"/>
      <c r="D561" s="5"/>
      <c r="E561" s="26"/>
      <c r="F561" s="27"/>
      <c r="G561" s="26"/>
      <c r="H561" s="27"/>
    </row>
    <row r="562">
      <c r="A562" s="24"/>
      <c r="B562" s="5"/>
      <c r="C562" s="5"/>
      <c r="D562" s="5"/>
      <c r="E562" s="26"/>
      <c r="F562" s="27"/>
      <c r="G562" s="26"/>
      <c r="H562" s="27"/>
    </row>
    <row r="563">
      <c r="A563" s="24"/>
      <c r="B563" s="5"/>
      <c r="C563" s="5"/>
      <c r="D563" s="5"/>
      <c r="E563" s="26"/>
      <c r="F563" s="27"/>
      <c r="G563" s="26"/>
      <c r="H563" s="27"/>
    </row>
    <row r="564">
      <c r="A564" s="24"/>
      <c r="B564" s="5"/>
      <c r="C564" s="5"/>
      <c r="D564" s="5"/>
      <c r="E564" s="26"/>
      <c r="F564" s="27"/>
      <c r="G564" s="26"/>
      <c r="H564" s="27"/>
    </row>
    <row r="565">
      <c r="A565" s="24"/>
      <c r="B565" s="5"/>
      <c r="C565" s="5"/>
      <c r="D565" s="5"/>
      <c r="E565" s="26"/>
      <c r="F565" s="27"/>
      <c r="G565" s="26"/>
      <c r="H565" s="27"/>
    </row>
    <row r="566">
      <c r="A566" s="24"/>
      <c r="B566" s="5"/>
      <c r="C566" s="5"/>
      <c r="D566" s="5"/>
      <c r="E566" s="26"/>
      <c r="F566" s="27"/>
      <c r="G566" s="26"/>
      <c r="H566" s="27"/>
    </row>
    <row r="567">
      <c r="A567" s="24"/>
      <c r="B567" s="5"/>
      <c r="C567" s="5"/>
      <c r="D567" s="5"/>
      <c r="E567" s="26"/>
      <c r="F567" s="27"/>
      <c r="G567" s="26"/>
      <c r="H567" s="27"/>
    </row>
    <row r="568">
      <c r="A568" s="24"/>
      <c r="B568" s="5"/>
      <c r="C568" s="5"/>
      <c r="D568" s="5"/>
      <c r="E568" s="26"/>
      <c r="F568" s="27"/>
      <c r="G568" s="26"/>
      <c r="H568" s="27"/>
    </row>
    <row r="569">
      <c r="A569" s="24"/>
      <c r="B569" s="5"/>
      <c r="C569" s="5"/>
      <c r="D569" s="5"/>
      <c r="E569" s="26"/>
      <c r="F569" s="27"/>
      <c r="G569" s="26"/>
      <c r="H569" s="27"/>
    </row>
    <row r="570">
      <c r="A570" s="24"/>
      <c r="B570" s="5"/>
      <c r="C570" s="5"/>
      <c r="D570" s="5"/>
      <c r="E570" s="26"/>
      <c r="F570" s="27"/>
      <c r="G570" s="26"/>
      <c r="H570" s="27"/>
    </row>
    <row r="571">
      <c r="A571" s="24"/>
      <c r="B571" s="5"/>
      <c r="C571" s="5"/>
      <c r="D571" s="5"/>
      <c r="E571" s="26"/>
      <c r="F571" s="27"/>
      <c r="G571" s="26"/>
      <c r="H571" s="27"/>
    </row>
    <row r="572">
      <c r="A572" s="24"/>
      <c r="B572" s="5"/>
      <c r="C572" s="5"/>
      <c r="D572" s="5"/>
      <c r="E572" s="26"/>
      <c r="F572" s="27"/>
      <c r="G572" s="26"/>
      <c r="H572" s="27"/>
    </row>
    <row r="573">
      <c r="A573" s="24"/>
      <c r="B573" s="5"/>
      <c r="C573" s="5"/>
      <c r="D573" s="5"/>
      <c r="E573" s="26"/>
      <c r="F573" s="27"/>
      <c r="G573" s="26"/>
      <c r="H573" s="27"/>
    </row>
    <row r="574">
      <c r="A574" s="24"/>
      <c r="B574" s="5"/>
      <c r="C574" s="5"/>
      <c r="D574" s="5"/>
      <c r="E574" s="26"/>
      <c r="F574" s="27"/>
      <c r="G574" s="26"/>
      <c r="H574" s="27"/>
    </row>
    <row r="575">
      <c r="A575" s="24"/>
      <c r="B575" s="5"/>
      <c r="C575" s="5"/>
      <c r="D575" s="5"/>
      <c r="E575" s="26"/>
      <c r="F575" s="27"/>
      <c r="G575" s="26"/>
      <c r="H575" s="27"/>
    </row>
    <row r="576">
      <c r="A576" s="24"/>
      <c r="B576" s="5"/>
      <c r="C576" s="5"/>
      <c r="D576" s="5"/>
      <c r="E576" s="26"/>
      <c r="F576" s="27"/>
      <c r="G576" s="26"/>
      <c r="H576" s="27"/>
    </row>
    <row r="577">
      <c r="A577" s="24"/>
      <c r="B577" s="5"/>
      <c r="C577" s="5"/>
      <c r="D577" s="5"/>
      <c r="E577" s="26"/>
      <c r="F577" s="27"/>
      <c r="G577" s="26"/>
      <c r="H577" s="27"/>
    </row>
    <row r="578">
      <c r="A578" s="24"/>
      <c r="B578" s="5"/>
      <c r="C578" s="5"/>
      <c r="D578" s="5"/>
      <c r="E578" s="26"/>
      <c r="F578" s="27"/>
      <c r="G578" s="26"/>
      <c r="H578" s="27"/>
    </row>
    <row r="579">
      <c r="A579" s="24"/>
      <c r="B579" s="5"/>
      <c r="C579" s="5"/>
      <c r="D579" s="5"/>
      <c r="E579" s="26"/>
      <c r="F579" s="27"/>
      <c r="G579" s="26"/>
      <c r="H579" s="27"/>
    </row>
    <row r="580">
      <c r="A580" s="24"/>
      <c r="B580" s="5"/>
      <c r="C580" s="5"/>
      <c r="D580" s="5"/>
      <c r="E580" s="26"/>
      <c r="F580" s="27"/>
      <c r="G580" s="26"/>
      <c r="H580" s="27"/>
    </row>
    <row r="581">
      <c r="A581" s="24"/>
      <c r="B581" s="5"/>
      <c r="C581" s="5"/>
      <c r="D581" s="5"/>
      <c r="E581" s="26"/>
      <c r="F581" s="27"/>
      <c r="G581" s="26"/>
      <c r="H581" s="27"/>
    </row>
    <row r="582">
      <c r="A582" s="24"/>
      <c r="B582" s="5"/>
      <c r="C582" s="5"/>
      <c r="D582" s="5"/>
      <c r="E582" s="26"/>
      <c r="F582" s="27"/>
      <c r="G582" s="26"/>
      <c r="H582" s="27"/>
    </row>
    <row r="583">
      <c r="A583" s="24"/>
      <c r="B583" s="5"/>
      <c r="C583" s="5"/>
      <c r="D583" s="5"/>
      <c r="E583" s="26"/>
      <c r="F583" s="27"/>
      <c r="G583" s="26"/>
      <c r="H583" s="27"/>
    </row>
    <row r="584">
      <c r="A584" s="24"/>
      <c r="B584" s="5"/>
      <c r="C584" s="5"/>
      <c r="D584" s="5"/>
      <c r="E584" s="26"/>
      <c r="F584" s="27"/>
      <c r="G584" s="26"/>
      <c r="H584" s="27"/>
    </row>
    <row r="585">
      <c r="A585" s="24"/>
      <c r="B585" s="5"/>
      <c r="C585" s="5"/>
      <c r="D585" s="5"/>
      <c r="E585" s="26"/>
      <c r="F585" s="27"/>
      <c r="G585" s="26"/>
      <c r="H585" s="27"/>
    </row>
    <row r="586">
      <c r="A586" s="24"/>
      <c r="B586" s="5"/>
      <c r="C586" s="5"/>
      <c r="D586" s="5"/>
      <c r="E586" s="26"/>
      <c r="F586" s="27"/>
      <c r="G586" s="26"/>
      <c r="H586" s="27"/>
    </row>
    <row r="587">
      <c r="A587" s="24"/>
      <c r="B587" s="5"/>
      <c r="C587" s="5"/>
      <c r="D587" s="5"/>
      <c r="E587" s="26"/>
      <c r="F587" s="27"/>
      <c r="G587" s="26"/>
      <c r="H587" s="27"/>
    </row>
    <row r="588">
      <c r="A588" s="24"/>
      <c r="B588" s="5"/>
      <c r="C588" s="5"/>
      <c r="D588" s="5"/>
      <c r="E588" s="26"/>
      <c r="F588" s="27"/>
      <c r="G588" s="26"/>
      <c r="H588" s="27"/>
    </row>
    <row r="589">
      <c r="A589" s="24"/>
      <c r="B589" s="5"/>
      <c r="C589" s="5"/>
      <c r="D589" s="5"/>
      <c r="E589" s="26"/>
      <c r="F589" s="27"/>
      <c r="G589" s="26"/>
      <c r="H589" s="27"/>
    </row>
    <row r="590">
      <c r="A590" s="24"/>
      <c r="B590" s="5"/>
      <c r="C590" s="5"/>
      <c r="D590" s="5"/>
      <c r="E590" s="26"/>
      <c r="F590" s="27"/>
      <c r="G590" s="26"/>
      <c r="H590" s="27"/>
    </row>
    <row r="591">
      <c r="A591" s="24"/>
      <c r="B591" s="5"/>
      <c r="C591" s="5"/>
      <c r="D591" s="5"/>
      <c r="E591" s="26"/>
      <c r="F591" s="27"/>
      <c r="G591" s="26"/>
      <c r="H591" s="27"/>
    </row>
    <row r="592">
      <c r="A592" s="24"/>
      <c r="B592" s="5"/>
      <c r="C592" s="5"/>
      <c r="D592" s="5"/>
      <c r="E592" s="26"/>
      <c r="F592" s="27"/>
      <c r="G592" s="26"/>
      <c r="H592" s="27"/>
    </row>
    <row r="593">
      <c r="A593" s="24"/>
      <c r="B593" s="5"/>
      <c r="C593" s="5"/>
      <c r="D593" s="5"/>
      <c r="E593" s="26"/>
      <c r="F593" s="27"/>
      <c r="G593" s="26"/>
      <c r="H593" s="27"/>
    </row>
    <row r="594">
      <c r="A594" s="24"/>
      <c r="B594" s="5"/>
      <c r="C594" s="5"/>
      <c r="D594" s="5"/>
      <c r="E594" s="26"/>
      <c r="F594" s="27"/>
      <c r="G594" s="26"/>
      <c r="H594" s="27"/>
    </row>
    <row r="595">
      <c r="A595" s="24"/>
      <c r="B595" s="5"/>
      <c r="C595" s="5"/>
      <c r="D595" s="5"/>
      <c r="E595" s="26"/>
      <c r="F595" s="27"/>
      <c r="G595" s="26"/>
      <c r="H595" s="27"/>
    </row>
    <row r="596">
      <c r="A596" s="24"/>
      <c r="B596" s="5"/>
      <c r="C596" s="5"/>
      <c r="D596" s="5"/>
      <c r="E596" s="26"/>
      <c r="F596" s="27"/>
      <c r="G596" s="26"/>
      <c r="H596" s="27"/>
    </row>
    <row r="597">
      <c r="A597" s="24"/>
      <c r="B597" s="5"/>
      <c r="C597" s="5"/>
      <c r="D597" s="5"/>
      <c r="E597" s="26"/>
      <c r="F597" s="27"/>
      <c r="G597" s="26"/>
      <c r="H597" s="27"/>
    </row>
    <row r="598">
      <c r="A598" s="24"/>
      <c r="B598" s="5"/>
      <c r="C598" s="5"/>
      <c r="D598" s="5"/>
      <c r="E598" s="26"/>
      <c r="F598" s="27"/>
      <c r="G598" s="26"/>
      <c r="H598" s="27"/>
    </row>
    <row r="599">
      <c r="A599" s="24"/>
      <c r="B599" s="5"/>
      <c r="C599" s="5"/>
      <c r="D599" s="5"/>
      <c r="E599" s="26"/>
      <c r="F599" s="27"/>
      <c r="G599" s="26"/>
      <c r="H599" s="27"/>
    </row>
    <row r="600">
      <c r="A600" s="24"/>
      <c r="B600" s="5"/>
      <c r="C600" s="5"/>
      <c r="D600" s="5"/>
      <c r="E600" s="26"/>
      <c r="F600" s="27"/>
      <c r="G600" s="26"/>
      <c r="H600" s="27"/>
    </row>
    <row r="601">
      <c r="A601" s="24"/>
      <c r="B601" s="5"/>
      <c r="C601" s="5"/>
      <c r="D601" s="5"/>
      <c r="E601" s="26"/>
      <c r="F601" s="27"/>
      <c r="G601" s="26"/>
      <c r="H601" s="27"/>
    </row>
    <row r="602">
      <c r="A602" s="24"/>
      <c r="B602" s="5"/>
      <c r="C602" s="5"/>
      <c r="D602" s="5"/>
      <c r="E602" s="26"/>
      <c r="F602" s="27"/>
      <c r="G602" s="26"/>
      <c r="H602" s="27"/>
    </row>
    <row r="603">
      <c r="A603" s="24"/>
      <c r="B603" s="5"/>
      <c r="C603" s="5"/>
      <c r="D603" s="5"/>
      <c r="E603" s="26"/>
      <c r="F603" s="27"/>
      <c r="G603" s="26"/>
      <c r="H603" s="27"/>
    </row>
    <row r="604">
      <c r="A604" s="24"/>
      <c r="B604" s="5"/>
      <c r="C604" s="5"/>
      <c r="D604" s="5"/>
      <c r="E604" s="26"/>
      <c r="F604" s="27"/>
      <c r="G604" s="26"/>
      <c r="H604" s="27"/>
    </row>
    <row r="605">
      <c r="A605" s="24"/>
      <c r="B605" s="5"/>
      <c r="C605" s="5"/>
      <c r="D605" s="5"/>
      <c r="E605" s="26"/>
      <c r="F605" s="27"/>
      <c r="G605" s="26"/>
      <c r="H605" s="27"/>
    </row>
    <row r="606">
      <c r="A606" s="24"/>
      <c r="B606" s="5"/>
      <c r="C606" s="5"/>
      <c r="D606" s="5"/>
      <c r="E606" s="26"/>
      <c r="F606" s="27"/>
      <c r="G606" s="26"/>
      <c r="H606" s="27"/>
    </row>
    <row r="607">
      <c r="A607" s="24"/>
      <c r="B607" s="5"/>
      <c r="C607" s="5"/>
      <c r="D607" s="5"/>
      <c r="E607" s="26"/>
      <c r="F607" s="27"/>
      <c r="G607" s="26"/>
      <c r="H607" s="27"/>
    </row>
    <row r="608">
      <c r="A608" s="24"/>
      <c r="B608" s="5"/>
      <c r="C608" s="5"/>
      <c r="D608" s="5"/>
      <c r="E608" s="26"/>
      <c r="F608" s="27"/>
      <c r="G608" s="26"/>
      <c r="H608" s="27"/>
    </row>
    <row r="609">
      <c r="A609" s="24"/>
      <c r="B609" s="5"/>
      <c r="C609" s="5"/>
      <c r="D609" s="5"/>
      <c r="E609" s="26"/>
      <c r="F609" s="27"/>
      <c r="G609" s="26"/>
      <c r="H609" s="27"/>
    </row>
    <row r="610">
      <c r="A610" s="24"/>
      <c r="B610" s="5"/>
      <c r="C610" s="5"/>
      <c r="D610" s="5"/>
      <c r="E610" s="26"/>
      <c r="F610" s="27"/>
      <c r="G610" s="26"/>
      <c r="H610" s="27"/>
    </row>
    <row r="611">
      <c r="A611" s="24"/>
      <c r="B611" s="5"/>
      <c r="C611" s="5"/>
      <c r="D611" s="5"/>
      <c r="E611" s="26"/>
      <c r="F611" s="27"/>
      <c r="G611" s="26"/>
      <c r="H611" s="27"/>
    </row>
    <row r="612">
      <c r="A612" s="24"/>
      <c r="B612" s="5"/>
      <c r="C612" s="5"/>
      <c r="D612" s="5"/>
      <c r="E612" s="26"/>
      <c r="F612" s="27"/>
      <c r="G612" s="26"/>
      <c r="H612" s="27"/>
    </row>
    <row r="613">
      <c r="A613" s="24"/>
      <c r="B613" s="5"/>
      <c r="C613" s="5"/>
      <c r="D613" s="5"/>
      <c r="E613" s="26"/>
      <c r="F613" s="27"/>
      <c r="G613" s="26"/>
      <c r="H613" s="27"/>
    </row>
    <row r="614">
      <c r="A614" s="25"/>
      <c r="B614" s="5"/>
      <c r="C614" s="5"/>
      <c r="D614" s="5"/>
      <c r="E614" s="26"/>
      <c r="F614" s="27"/>
      <c r="G614" s="26"/>
      <c r="H614" s="27"/>
    </row>
    <row r="615">
      <c r="A615" s="25"/>
      <c r="B615" s="5"/>
      <c r="C615" s="5"/>
      <c r="D615" s="5"/>
      <c r="E615" s="26"/>
      <c r="F615" s="27"/>
      <c r="G615" s="26"/>
      <c r="H615" s="27"/>
    </row>
    <row r="616">
      <c r="A616" s="25"/>
      <c r="B616" s="5"/>
      <c r="C616" s="5"/>
      <c r="D616" s="5"/>
      <c r="E616" s="26"/>
      <c r="F616" s="27"/>
      <c r="G616" s="26"/>
      <c r="H616" s="27"/>
    </row>
    <row r="617">
      <c r="A617" s="25"/>
      <c r="B617" s="5"/>
      <c r="C617" s="5"/>
      <c r="D617" s="5"/>
      <c r="E617" s="26"/>
      <c r="F617" s="27"/>
      <c r="G617" s="26"/>
      <c r="H617" s="27"/>
    </row>
    <row r="618">
      <c r="A618" s="25"/>
      <c r="B618" s="5"/>
      <c r="C618" s="5"/>
      <c r="D618" s="5"/>
      <c r="E618" s="26"/>
      <c r="F618" s="27"/>
      <c r="G618" s="26"/>
      <c r="H618" s="27"/>
    </row>
    <row r="619">
      <c r="A619" s="25"/>
      <c r="B619" s="5"/>
      <c r="C619" s="5"/>
      <c r="D619" s="5"/>
      <c r="E619" s="26"/>
      <c r="F619" s="27"/>
      <c r="G619" s="26"/>
      <c r="H619" s="27"/>
    </row>
    <row r="620">
      <c r="A620" s="25"/>
      <c r="B620" s="5"/>
      <c r="C620" s="5"/>
      <c r="D620" s="5"/>
      <c r="E620" s="26"/>
      <c r="F620" s="27"/>
      <c r="G620" s="26"/>
      <c r="H620" s="27"/>
    </row>
    <row r="621">
      <c r="A621" s="25"/>
      <c r="B621" s="5"/>
      <c r="C621" s="5"/>
      <c r="D621" s="5"/>
      <c r="E621" s="26"/>
      <c r="F621" s="27"/>
      <c r="G621" s="26"/>
      <c r="H621" s="27"/>
    </row>
    <row r="622">
      <c r="A622" s="25"/>
      <c r="B622" s="5"/>
      <c r="C622" s="5"/>
      <c r="D622" s="5"/>
      <c r="E622" s="26"/>
      <c r="F622" s="27"/>
      <c r="G622" s="26"/>
      <c r="H622" s="27"/>
    </row>
    <row r="623">
      <c r="A623" s="25"/>
      <c r="B623" s="5"/>
      <c r="C623" s="5"/>
      <c r="D623" s="5"/>
      <c r="E623" s="26"/>
      <c r="F623" s="27"/>
      <c r="G623" s="26"/>
      <c r="H623" s="27"/>
    </row>
    <row r="624">
      <c r="A624" s="25"/>
      <c r="B624" s="5"/>
      <c r="C624" s="5"/>
      <c r="D624" s="5"/>
      <c r="E624" s="26"/>
      <c r="F624" s="27"/>
      <c r="G624" s="26"/>
      <c r="H624" s="27"/>
    </row>
    <row r="625">
      <c r="A625" s="25"/>
      <c r="B625" s="5"/>
      <c r="C625" s="5"/>
      <c r="D625" s="5"/>
      <c r="E625" s="26"/>
      <c r="F625" s="27"/>
      <c r="G625" s="26"/>
      <c r="H625" s="27"/>
    </row>
    <row r="626">
      <c r="A626" s="25"/>
      <c r="B626" s="5"/>
      <c r="C626" s="5"/>
      <c r="D626" s="5"/>
      <c r="E626" s="26"/>
      <c r="F626" s="27"/>
      <c r="G626" s="26"/>
      <c r="H626" s="27"/>
    </row>
    <row r="627">
      <c r="A627" s="25"/>
      <c r="B627" s="5"/>
      <c r="C627" s="5"/>
      <c r="D627" s="5"/>
      <c r="E627" s="26"/>
      <c r="F627" s="27"/>
      <c r="G627" s="26"/>
      <c r="H627" s="27"/>
    </row>
    <row r="628">
      <c r="A628" s="25"/>
      <c r="B628" s="5"/>
      <c r="C628" s="5"/>
      <c r="D628" s="5"/>
      <c r="E628" s="26"/>
      <c r="F628" s="27"/>
      <c r="G628" s="26"/>
      <c r="H628" s="27"/>
    </row>
    <row r="629">
      <c r="A629" s="25"/>
      <c r="B629" s="5"/>
      <c r="C629" s="5"/>
      <c r="D629" s="5"/>
      <c r="E629" s="26"/>
      <c r="F629" s="27"/>
      <c r="G629" s="26"/>
      <c r="H629" s="27"/>
    </row>
    <row r="630">
      <c r="A630" s="25"/>
      <c r="B630" s="5"/>
      <c r="C630" s="5"/>
      <c r="D630" s="5"/>
      <c r="E630" s="26"/>
      <c r="F630" s="27"/>
      <c r="G630" s="26"/>
      <c r="H630" s="27"/>
    </row>
    <row r="631">
      <c r="A631" s="25"/>
      <c r="B631" s="5"/>
      <c r="C631" s="5"/>
      <c r="D631" s="5"/>
      <c r="E631" s="26"/>
      <c r="F631" s="27"/>
      <c r="G631" s="26"/>
      <c r="H631" s="27"/>
    </row>
    <row r="632">
      <c r="A632" s="25"/>
      <c r="B632" s="5"/>
      <c r="C632" s="5"/>
      <c r="D632" s="5"/>
      <c r="E632" s="26"/>
      <c r="F632" s="27"/>
      <c r="G632" s="26"/>
      <c r="H632" s="27"/>
    </row>
    <row r="633">
      <c r="A633" s="25"/>
      <c r="B633" s="5"/>
      <c r="C633" s="5"/>
      <c r="D633" s="5"/>
      <c r="E633" s="26"/>
      <c r="F633" s="27"/>
      <c r="G633" s="26"/>
      <c r="H633" s="27"/>
    </row>
    <row r="634">
      <c r="A634" s="25"/>
      <c r="B634" s="5"/>
      <c r="C634" s="5"/>
      <c r="D634" s="5"/>
      <c r="E634" s="26"/>
      <c r="F634" s="27"/>
      <c r="G634" s="26"/>
      <c r="H634" s="27"/>
    </row>
    <row r="635">
      <c r="A635" s="25"/>
      <c r="B635" s="5"/>
      <c r="C635" s="5"/>
      <c r="D635" s="5"/>
      <c r="E635" s="26"/>
      <c r="F635" s="27"/>
      <c r="G635" s="26"/>
      <c r="H635" s="27"/>
    </row>
    <row r="636">
      <c r="A636" s="25"/>
      <c r="B636" s="5"/>
      <c r="C636" s="5"/>
      <c r="D636" s="5"/>
      <c r="E636" s="26"/>
      <c r="F636" s="27"/>
      <c r="G636" s="26"/>
      <c r="H636" s="27"/>
    </row>
    <row r="637">
      <c r="A637" s="25"/>
      <c r="B637" s="5"/>
      <c r="C637" s="5"/>
      <c r="D637" s="5"/>
      <c r="E637" s="26"/>
      <c r="F637" s="27"/>
      <c r="G637" s="26"/>
      <c r="H637" s="27"/>
    </row>
    <row r="638">
      <c r="A638" s="25"/>
      <c r="B638" s="5"/>
      <c r="C638" s="5"/>
      <c r="D638" s="5"/>
      <c r="E638" s="26"/>
      <c r="F638" s="27"/>
      <c r="G638" s="26"/>
      <c r="H638" s="27"/>
    </row>
    <row r="639">
      <c r="A639" s="25"/>
      <c r="B639" s="5"/>
      <c r="C639" s="5"/>
      <c r="D639" s="5"/>
      <c r="E639" s="26"/>
      <c r="F639" s="27"/>
      <c r="G639" s="26"/>
      <c r="H639" s="27"/>
    </row>
    <row r="640">
      <c r="A640" s="25"/>
      <c r="B640" s="5"/>
      <c r="C640" s="5"/>
      <c r="D640" s="5"/>
      <c r="E640" s="26"/>
      <c r="F640" s="27"/>
      <c r="G640" s="26"/>
      <c r="H640" s="27"/>
    </row>
    <row r="641">
      <c r="A641" s="25"/>
      <c r="B641" s="5"/>
      <c r="C641" s="5"/>
      <c r="D641" s="5"/>
      <c r="E641" s="26"/>
      <c r="F641" s="27"/>
      <c r="G641" s="26"/>
      <c r="H641" s="27"/>
    </row>
    <row r="642">
      <c r="A642" s="25"/>
      <c r="B642" s="5"/>
      <c r="C642" s="5"/>
      <c r="D642" s="5"/>
      <c r="E642" s="26"/>
      <c r="F642" s="27"/>
      <c r="G642" s="26"/>
      <c r="H642" s="27"/>
    </row>
    <row r="643">
      <c r="A643" s="25"/>
      <c r="B643" s="5"/>
      <c r="C643" s="5"/>
      <c r="D643" s="5"/>
      <c r="E643" s="26"/>
      <c r="F643" s="27"/>
      <c r="G643" s="26"/>
      <c r="H643" s="27"/>
    </row>
    <row r="644">
      <c r="A644" s="25"/>
      <c r="B644" s="5"/>
      <c r="C644" s="5"/>
      <c r="D644" s="5"/>
      <c r="E644" s="26"/>
      <c r="F644" s="27"/>
      <c r="G644" s="26"/>
      <c r="H644" s="27"/>
    </row>
    <row r="645">
      <c r="A645" s="25"/>
      <c r="B645" s="5"/>
      <c r="C645" s="5"/>
      <c r="D645" s="5"/>
      <c r="E645" s="26"/>
      <c r="F645" s="27"/>
      <c r="G645" s="26"/>
      <c r="H645" s="27"/>
    </row>
    <row r="646">
      <c r="A646" s="25"/>
      <c r="B646" s="5"/>
      <c r="C646" s="5"/>
      <c r="D646" s="5"/>
      <c r="E646" s="26"/>
      <c r="F646" s="27"/>
      <c r="G646" s="26"/>
      <c r="H646" s="27"/>
    </row>
    <row r="647">
      <c r="A647" s="25"/>
      <c r="B647" s="5"/>
      <c r="C647" s="5"/>
      <c r="D647" s="5"/>
      <c r="E647" s="26"/>
      <c r="F647" s="27"/>
      <c r="G647" s="26"/>
      <c r="H647" s="27"/>
    </row>
    <row r="648">
      <c r="A648" s="25"/>
      <c r="B648" s="5"/>
      <c r="C648" s="5"/>
      <c r="D648" s="5"/>
      <c r="E648" s="26"/>
      <c r="F648" s="27"/>
      <c r="G648" s="26"/>
      <c r="H648" s="27"/>
    </row>
    <row r="649">
      <c r="A649" s="25"/>
      <c r="B649" s="5"/>
      <c r="C649" s="5"/>
      <c r="D649" s="5"/>
      <c r="E649" s="26"/>
      <c r="F649" s="27"/>
      <c r="G649" s="26"/>
      <c r="H649" s="27"/>
    </row>
    <row r="650">
      <c r="A650" s="25"/>
      <c r="B650" s="5"/>
      <c r="C650" s="5"/>
      <c r="D650" s="5"/>
      <c r="E650" s="26"/>
      <c r="F650" s="27"/>
      <c r="G650" s="26"/>
      <c r="H650" s="27"/>
    </row>
    <row r="651">
      <c r="A651" s="25"/>
      <c r="B651" s="5"/>
      <c r="C651" s="5"/>
      <c r="D651" s="5"/>
      <c r="E651" s="26"/>
      <c r="F651" s="27"/>
      <c r="G651" s="26"/>
      <c r="H651" s="27"/>
    </row>
    <row r="652">
      <c r="A652" s="25"/>
      <c r="B652" s="5"/>
      <c r="C652" s="5"/>
      <c r="D652" s="5"/>
      <c r="E652" s="26"/>
      <c r="F652" s="27"/>
      <c r="G652" s="26"/>
      <c r="H652" s="27"/>
    </row>
    <row r="653">
      <c r="A653" s="25"/>
      <c r="B653" s="5"/>
      <c r="C653" s="5"/>
      <c r="D653" s="5"/>
      <c r="E653" s="26"/>
      <c r="F653" s="27"/>
      <c r="G653" s="26"/>
      <c r="H653" s="27"/>
    </row>
    <row r="654">
      <c r="A654" s="25"/>
      <c r="B654" s="5"/>
      <c r="C654" s="5"/>
      <c r="D654" s="5"/>
      <c r="E654" s="26"/>
      <c r="F654" s="27"/>
      <c r="G654" s="26"/>
      <c r="H654" s="27"/>
    </row>
    <row r="655">
      <c r="A655" s="25"/>
      <c r="B655" s="5"/>
      <c r="C655" s="5"/>
      <c r="D655" s="5"/>
      <c r="E655" s="26"/>
      <c r="F655" s="27"/>
      <c r="G655" s="26"/>
      <c r="H655" s="27"/>
    </row>
    <row r="656">
      <c r="A656" s="25"/>
      <c r="B656" s="5"/>
      <c r="C656" s="5"/>
      <c r="D656" s="5"/>
      <c r="E656" s="26"/>
      <c r="F656" s="27"/>
      <c r="G656" s="26"/>
      <c r="H656" s="27"/>
    </row>
    <row r="657">
      <c r="A657" s="25"/>
      <c r="B657" s="5"/>
      <c r="C657" s="5"/>
      <c r="D657" s="5"/>
      <c r="E657" s="26"/>
      <c r="F657" s="27"/>
      <c r="G657" s="26"/>
      <c r="H657" s="27"/>
    </row>
    <row r="658">
      <c r="A658" s="25"/>
      <c r="B658" s="5"/>
      <c r="C658" s="5"/>
      <c r="D658" s="5"/>
      <c r="E658" s="26"/>
      <c r="F658" s="27"/>
      <c r="G658" s="26"/>
      <c r="H658" s="27"/>
    </row>
    <row r="659">
      <c r="A659" s="25"/>
      <c r="B659" s="5"/>
      <c r="C659" s="5"/>
      <c r="D659" s="5"/>
      <c r="E659" s="26"/>
      <c r="F659" s="27"/>
      <c r="G659" s="26"/>
      <c r="H659" s="27"/>
    </row>
    <row r="660">
      <c r="A660" s="25"/>
      <c r="B660" s="5"/>
      <c r="C660" s="5"/>
      <c r="D660" s="5"/>
      <c r="E660" s="26"/>
      <c r="F660" s="27"/>
      <c r="G660" s="26"/>
      <c r="H660" s="27"/>
    </row>
    <row r="661">
      <c r="A661" s="25"/>
      <c r="B661" s="5"/>
      <c r="C661" s="5"/>
      <c r="D661" s="5"/>
      <c r="E661" s="26"/>
      <c r="F661" s="27"/>
      <c r="G661" s="26"/>
      <c r="H661" s="27"/>
    </row>
    <row r="662">
      <c r="A662" s="25"/>
      <c r="B662" s="5"/>
      <c r="C662" s="5"/>
      <c r="D662" s="5"/>
      <c r="E662" s="26"/>
      <c r="F662" s="27"/>
      <c r="G662" s="26"/>
      <c r="H662" s="27"/>
    </row>
    <row r="663">
      <c r="A663" s="25"/>
      <c r="B663" s="5"/>
      <c r="C663" s="5"/>
      <c r="D663" s="5"/>
      <c r="E663" s="26"/>
      <c r="F663" s="27"/>
      <c r="G663" s="26"/>
      <c r="H663" s="27"/>
    </row>
    <row r="664">
      <c r="A664" s="25"/>
      <c r="B664" s="5"/>
      <c r="C664" s="5"/>
      <c r="D664" s="5"/>
      <c r="E664" s="26"/>
      <c r="F664" s="27"/>
      <c r="G664" s="26"/>
      <c r="H664" s="27"/>
    </row>
    <row r="665">
      <c r="A665" s="25"/>
      <c r="B665" s="5"/>
      <c r="C665" s="5"/>
      <c r="D665" s="5"/>
      <c r="E665" s="26"/>
      <c r="F665" s="27"/>
      <c r="G665" s="26"/>
      <c r="H665" s="27"/>
    </row>
    <row r="666">
      <c r="A666" s="25"/>
      <c r="B666" s="5"/>
      <c r="C666" s="5"/>
      <c r="D666" s="5"/>
      <c r="E666" s="26"/>
      <c r="F666" s="27"/>
      <c r="G666" s="26"/>
      <c r="H666" s="27"/>
    </row>
    <row r="667">
      <c r="A667" s="25"/>
      <c r="B667" s="5"/>
      <c r="C667" s="5"/>
      <c r="D667" s="5"/>
      <c r="E667" s="26"/>
      <c r="F667" s="27"/>
      <c r="G667" s="26"/>
      <c r="H667" s="27"/>
    </row>
    <row r="668">
      <c r="A668" s="25"/>
      <c r="B668" s="5"/>
      <c r="C668" s="5"/>
      <c r="D668" s="5"/>
      <c r="E668" s="26"/>
      <c r="F668" s="27"/>
      <c r="G668" s="26"/>
      <c r="H668" s="27"/>
    </row>
    <row r="669">
      <c r="A669" s="25"/>
      <c r="B669" s="5"/>
      <c r="C669" s="5"/>
      <c r="D669" s="5"/>
      <c r="E669" s="26"/>
      <c r="F669" s="27"/>
      <c r="G669" s="26"/>
      <c r="H669" s="27"/>
    </row>
    <row r="670">
      <c r="A670" s="25"/>
      <c r="B670" s="5"/>
      <c r="C670" s="5"/>
      <c r="D670" s="5"/>
      <c r="E670" s="26"/>
      <c r="F670" s="27"/>
      <c r="G670" s="26"/>
      <c r="H670" s="27"/>
    </row>
    <row r="671">
      <c r="A671" s="25"/>
      <c r="B671" s="5"/>
      <c r="C671" s="5"/>
      <c r="D671" s="5"/>
      <c r="E671" s="26"/>
      <c r="F671" s="27"/>
      <c r="G671" s="26"/>
      <c r="H671" s="27"/>
    </row>
    <row r="672">
      <c r="A672" s="25"/>
      <c r="B672" s="5"/>
      <c r="C672" s="5"/>
      <c r="D672" s="5"/>
      <c r="E672" s="26"/>
      <c r="F672" s="27"/>
      <c r="G672" s="26"/>
      <c r="H672" s="27"/>
    </row>
    <row r="673">
      <c r="A673" s="25"/>
      <c r="B673" s="5"/>
      <c r="C673" s="5"/>
      <c r="D673" s="5"/>
      <c r="E673" s="26"/>
      <c r="F673" s="27"/>
      <c r="G673" s="26"/>
      <c r="H673" s="27"/>
    </row>
    <row r="674">
      <c r="A674" s="25"/>
      <c r="B674" s="5"/>
      <c r="C674" s="5"/>
      <c r="D674" s="5"/>
      <c r="E674" s="26"/>
      <c r="F674" s="27"/>
      <c r="G674" s="26"/>
      <c r="H674" s="27"/>
    </row>
    <row r="675">
      <c r="A675" s="25"/>
      <c r="B675" s="5"/>
      <c r="C675" s="5"/>
      <c r="D675" s="5"/>
      <c r="E675" s="26"/>
      <c r="F675" s="27"/>
      <c r="G675" s="26"/>
      <c r="H675" s="27"/>
    </row>
    <row r="676">
      <c r="A676" s="25"/>
      <c r="B676" s="5"/>
      <c r="C676" s="5"/>
      <c r="D676" s="5"/>
      <c r="E676" s="26"/>
      <c r="F676" s="27"/>
      <c r="G676" s="26"/>
      <c r="H676" s="27"/>
    </row>
    <row r="677">
      <c r="A677" s="25"/>
      <c r="B677" s="5"/>
      <c r="C677" s="5"/>
      <c r="D677" s="5"/>
      <c r="E677" s="26"/>
      <c r="F677" s="27"/>
      <c r="G677" s="26"/>
      <c r="H677" s="27"/>
    </row>
    <row r="678">
      <c r="A678" s="25"/>
      <c r="B678" s="5"/>
      <c r="C678" s="5"/>
      <c r="D678" s="5"/>
      <c r="E678" s="26"/>
      <c r="F678" s="27"/>
      <c r="G678" s="26"/>
      <c r="H678" s="27"/>
    </row>
    <row r="679">
      <c r="A679" s="25"/>
      <c r="B679" s="5"/>
      <c r="C679" s="5"/>
      <c r="D679" s="5"/>
      <c r="E679" s="26"/>
      <c r="F679" s="27"/>
      <c r="G679" s="26"/>
      <c r="H679" s="27"/>
    </row>
    <row r="680">
      <c r="A680" s="25"/>
      <c r="B680" s="5"/>
      <c r="C680" s="5"/>
      <c r="D680" s="5"/>
      <c r="E680" s="26"/>
      <c r="F680" s="27"/>
      <c r="G680" s="26"/>
      <c r="H680" s="27"/>
    </row>
    <row r="681">
      <c r="A681" s="25"/>
      <c r="B681" s="5"/>
      <c r="C681" s="5"/>
      <c r="D681" s="5"/>
      <c r="E681" s="26"/>
      <c r="F681" s="27"/>
      <c r="G681" s="26"/>
      <c r="H681" s="27"/>
    </row>
    <row r="682">
      <c r="A682" s="25"/>
      <c r="B682" s="5"/>
      <c r="C682" s="5"/>
      <c r="D682" s="5"/>
      <c r="E682" s="26"/>
      <c r="F682" s="27"/>
      <c r="G682" s="26"/>
      <c r="H682" s="27"/>
    </row>
    <row r="683">
      <c r="A683" s="25"/>
      <c r="B683" s="5"/>
      <c r="C683" s="5"/>
      <c r="D683" s="5"/>
      <c r="E683" s="26"/>
      <c r="F683" s="27"/>
      <c r="G683" s="26"/>
      <c r="H683" s="27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13.71"/>
    <col customWidth="1" min="3" max="3" width="9.43"/>
    <col customWidth="1" min="4" max="4" width="9.71"/>
    <col customWidth="1" min="5" max="5" width="9.14"/>
    <col customWidth="1" min="6" max="6" width="10.86"/>
    <col customWidth="1" min="7" max="7" width="13.14"/>
    <col customWidth="1" min="8" max="8" width="11.57"/>
    <col customWidth="1" min="9" max="9" width="8.57"/>
    <col customWidth="1" min="10" max="10" width="13.71"/>
    <col customWidth="1" min="11" max="11" width="10.57"/>
    <col customWidth="1" min="12" max="12" width="11.57"/>
    <col customWidth="1" min="13" max="13" width="16.43"/>
    <col customWidth="1" min="14" max="14" width="8.29"/>
    <col customWidth="1" min="15" max="15" width="13.86"/>
    <col customWidth="1" min="16" max="16" width="21.0"/>
    <col customWidth="1" min="20" max="20" width="23.86"/>
  </cols>
  <sheetData>
    <row r="1">
      <c r="A1" s="2" t="s">
        <v>1</v>
      </c>
      <c r="B1" s="4"/>
      <c r="C1" s="6" t="s">
        <v>15</v>
      </c>
      <c r="D1" s="4"/>
      <c r="E1" s="4"/>
      <c r="F1" s="8" t="s">
        <v>17</v>
      </c>
      <c r="G1" s="4"/>
      <c r="H1" s="4"/>
      <c r="I1" s="4"/>
      <c r="J1" s="4"/>
      <c r="K1" s="4"/>
      <c r="L1" s="4"/>
      <c r="M1" s="4"/>
      <c r="N1" s="4"/>
      <c r="O1" s="4"/>
      <c r="P1" s="4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</row>
    <row r="2">
      <c r="A2" s="7" t="s">
        <v>0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1" t="s">
        <v>13</v>
      </c>
      <c r="N2" s="12" t="s">
        <v>14</v>
      </c>
      <c r="O2" s="7" t="s">
        <v>16</v>
      </c>
      <c r="P2" s="7" t="s">
        <v>18</v>
      </c>
      <c r="Q2" s="1" t="s">
        <v>19</v>
      </c>
      <c r="R2" s="1" t="s">
        <v>20</v>
      </c>
      <c r="S2" s="1" t="s">
        <v>21</v>
      </c>
      <c r="T2" s="1" t="s">
        <v>22</v>
      </c>
      <c r="U2" s="9"/>
      <c r="V2" s="9"/>
      <c r="W2" s="9"/>
      <c r="X2" s="9"/>
      <c r="Y2" s="9"/>
      <c r="Z2" s="9"/>
      <c r="AA2" s="9"/>
      <c r="AB2" s="9"/>
    </row>
    <row r="3">
      <c r="A3" s="16">
        <f>IFERROR(__xludf.DUMMYFUNCTION("filter(Realtime_Options!A2:T1000,IF(C1="""",Realtime_Options!A2:A1000=today() ,Realtime_Options!C2:C1000=C1))"),43866.0)</f>
        <v>43866</v>
      </c>
      <c r="B3" s="18">
        <f>IFERROR(__xludf.DUMMYFUNCTION("""COMPUTED_VALUE"""),0.6180555555555556)</f>
        <v>0.6180555556</v>
      </c>
      <c r="C3" s="19" t="str">
        <f>IFERROR(__xludf.DUMMYFUNCTION("""COMPUTED_VALUE"""),"NFLX")</f>
        <v>NFLX</v>
      </c>
      <c r="D3" s="21">
        <f>IFERROR(__xludf.DUMMYFUNCTION("""COMPUTED_VALUE"""),43868.0)</f>
        <v>43868</v>
      </c>
      <c r="E3" s="19">
        <f>IFERROR(__xludf.DUMMYFUNCTION("""COMPUTED_VALUE"""),370.0)</f>
        <v>370</v>
      </c>
      <c r="F3" s="19" t="str">
        <f>IFERROR(__xludf.DUMMYFUNCTION("""COMPUTED_VALUE"""),"CALLS")</f>
        <v>CALLS</v>
      </c>
      <c r="G3" s="19">
        <f>IFERROR(__xludf.DUMMYFUNCTION("""COMPUTED_VALUE"""),369.92)</f>
        <v>369.92</v>
      </c>
      <c r="H3" s="19">
        <f>IFERROR(__xludf.DUMMYFUNCTION("""COMPUTED_VALUE"""),299.0)</f>
        <v>299</v>
      </c>
      <c r="I3" s="19">
        <f>IFERROR(__xludf.DUMMYFUNCTION("""COMPUTED_VALUE"""),4.45)</f>
        <v>4.45</v>
      </c>
      <c r="J3" s="19" t="str">
        <f>IFERROR(__xludf.DUMMYFUNCTION("""COMPUTED_VALUE"""),"BLOCK")</f>
        <v>BLOCK</v>
      </c>
      <c r="K3" s="19">
        <f>IFERROR(__xludf.DUMMYFUNCTION("""COMPUTED_VALUE"""),8529.0)</f>
        <v>8529</v>
      </c>
      <c r="L3" s="19">
        <f>IFERROR(__xludf.DUMMYFUNCTION("""COMPUTED_VALUE"""),2765.0)</f>
        <v>2765</v>
      </c>
      <c r="M3" s="22">
        <f>IFERROR(__xludf.DUMMYFUNCTION("""COMPUTED_VALUE"""),133055.0)</f>
        <v>133055</v>
      </c>
      <c r="N3" s="19" t="str">
        <f>IFERROR(__xludf.DUMMYFUNCTION("""COMPUTED_VALUE"""),"")</f>
        <v/>
      </c>
      <c r="O3" s="19">
        <f>IFERROR(__xludf.DUMMYFUNCTION("""COMPUTED_VALUE"""),21.0)</f>
        <v>21</v>
      </c>
      <c r="P3" s="19" t="str">
        <f>IFERROR(__xludf.DUMMYFUNCTION("""COMPUTED_VALUE"""),"Consumer Discretionary")</f>
        <v>Consumer Discretionary</v>
      </c>
      <c r="Q3" s="15" t="str">
        <f>IFERROR(__xludf.DUMMYFUNCTION("""COMPUTED_VALUE"""),"")</f>
        <v/>
      </c>
      <c r="R3" s="15" t="str">
        <f>IFERROR(__xludf.DUMMYFUNCTION("""COMPUTED_VALUE"""),"bullish")</f>
        <v>bullish</v>
      </c>
      <c r="S3" s="15" t="str">
        <f>IFERROR(__xludf.DUMMYFUNCTION("""COMPUTED_VALUE"""),"")</f>
        <v/>
      </c>
      <c r="T3" s="15" t="str">
        <f>IFERROR(__xludf.DUMMYFUNCTION("""COMPUTED_VALUE"""),"[Day Vol is Greater than OI]")</f>
        <v>[Day Vol is Greater than OI]</v>
      </c>
    </row>
    <row r="4">
      <c r="A4" s="23">
        <f>IFERROR(__xludf.DUMMYFUNCTION("""COMPUTED_VALUE"""),43866.0)</f>
        <v>43866</v>
      </c>
      <c r="B4" s="18">
        <f>IFERROR(__xludf.DUMMYFUNCTION("""COMPUTED_VALUE"""),0.46458333333333335)</f>
        <v>0.4645833333</v>
      </c>
      <c r="C4" s="19" t="str">
        <f>IFERROR(__xludf.DUMMYFUNCTION("""COMPUTED_VALUE"""),"NFLX")</f>
        <v>NFLX</v>
      </c>
      <c r="D4" s="21">
        <f>IFERROR(__xludf.DUMMYFUNCTION("""COMPUTED_VALUE"""),43868.0)</f>
        <v>43868</v>
      </c>
      <c r="E4" s="19">
        <f>IFERROR(__xludf.DUMMYFUNCTION("""COMPUTED_VALUE"""),370.0)</f>
        <v>370</v>
      </c>
      <c r="F4" s="19" t="str">
        <f>IFERROR(__xludf.DUMMYFUNCTION("""COMPUTED_VALUE"""),"CALLS")</f>
        <v>CALLS</v>
      </c>
      <c r="G4" s="19">
        <f>IFERROR(__xludf.DUMMYFUNCTION("""COMPUTED_VALUE"""),365.75)</f>
        <v>365.75</v>
      </c>
      <c r="H4" s="19">
        <f>IFERROR(__xludf.DUMMYFUNCTION("""COMPUTED_VALUE"""),120.0)</f>
        <v>120</v>
      </c>
      <c r="I4" s="19">
        <f>IFERROR(__xludf.DUMMYFUNCTION("""COMPUTED_VALUE"""),3.1)</f>
        <v>3.1</v>
      </c>
      <c r="J4" s="19" t="str">
        <f>IFERROR(__xludf.DUMMYFUNCTION("""COMPUTED_VALUE"""),"SWEEP")</f>
        <v>SWEEP</v>
      </c>
      <c r="K4" s="19">
        <f>IFERROR(__xludf.DUMMYFUNCTION("""COMPUTED_VALUE"""),3536.0)</f>
        <v>3536</v>
      </c>
      <c r="L4" s="19">
        <f>IFERROR(__xludf.DUMMYFUNCTION("""COMPUTED_VALUE"""),2765.0)</f>
        <v>2765</v>
      </c>
      <c r="M4" s="22">
        <f>IFERROR(__xludf.DUMMYFUNCTION("""COMPUTED_VALUE"""),37200.0)</f>
        <v>37200</v>
      </c>
      <c r="N4" s="19" t="str">
        <f>IFERROR(__xludf.DUMMYFUNCTION("""COMPUTED_VALUE"""),"")</f>
        <v/>
      </c>
      <c r="O4" s="19">
        <f>IFERROR(__xludf.DUMMYFUNCTION("""COMPUTED_VALUE"""),14.0)</f>
        <v>14</v>
      </c>
      <c r="P4" s="19" t="str">
        <f>IFERROR(__xludf.DUMMYFUNCTION("""COMPUTED_VALUE"""),"Consumer Discretionary")</f>
        <v>Consumer Discretionary</v>
      </c>
      <c r="Q4" s="15" t="str">
        <f>IFERROR(__xludf.DUMMYFUNCTION("""COMPUTED_VALUE"""),"")</f>
        <v/>
      </c>
      <c r="R4" s="15" t="str">
        <f>IFERROR(__xludf.DUMMYFUNCTION("""COMPUTED_VALUE"""),"bullish")</f>
        <v>bullish</v>
      </c>
      <c r="S4" s="15" t="str">
        <f>IFERROR(__xludf.DUMMYFUNCTION("""COMPUTED_VALUE"""),"")</f>
        <v/>
      </c>
      <c r="T4" s="15" t="str">
        <f>IFERROR(__xludf.DUMMYFUNCTION("""COMPUTED_VALUE"""),"[Day Vol is Greater than OI]")</f>
        <v>[Day Vol is Greater than OI]</v>
      </c>
    </row>
    <row r="5">
      <c r="A5" s="23">
        <f>IFERROR(__xludf.DUMMYFUNCTION("""COMPUTED_VALUE"""),43866.0)</f>
        <v>43866</v>
      </c>
      <c r="B5" s="18">
        <f>IFERROR(__xludf.DUMMYFUNCTION("""COMPUTED_VALUE"""),0.425)</f>
        <v>0.425</v>
      </c>
      <c r="C5" s="19" t="str">
        <f>IFERROR(__xludf.DUMMYFUNCTION("""COMPUTED_VALUE"""),"NFLX")</f>
        <v>NFLX</v>
      </c>
      <c r="D5" s="21">
        <f>IFERROR(__xludf.DUMMYFUNCTION("""COMPUTED_VALUE"""),43868.0)</f>
        <v>43868</v>
      </c>
      <c r="E5" s="19">
        <f>IFERROR(__xludf.DUMMYFUNCTION("""COMPUTED_VALUE"""),380.0)</f>
        <v>380</v>
      </c>
      <c r="F5" s="19" t="str">
        <f>IFERROR(__xludf.DUMMYFUNCTION("""COMPUTED_VALUE"""),"CALLS")</f>
        <v>CALLS</v>
      </c>
      <c r="G5" s="19">
        <f>IFERROR(__xludf.DUMMYFUNCTION("""COMPUTED_VALUE"""),368.58)</f>
        <v>368.58</v>
      </c>
      <c r="H5" s="19">
        <f>IFERROR(__xludf.DUMMYFUNCTION("""COMPUTED_VALUE"""),200.0)</f>
        <v>200</v>
      </c>
      <c r="I5" s="19">
        <f>IFERROR(__xludf.DUMMYFUNCTION("""COMPUTED_VALUE"""),1.58)</f>
        <v>1.58</v>
      </c>
      <c r="J5" s="19" t="str">
        <f>IFERROR(__xludf.DUMMYFUNCTION("""COMPUTED_VALUE"""),"SWEEP")</f>
        <v>SWEEP</v>
      </c>
      <c r="K5" s="19">
        <f>IFERROR(__xludf.DUMMYFUNCTION("""COMPUTED_VALUE"""),4175.0)</f>
        <v>4175</v>
      </c>
      <c r="L5" s="19">
        <f>IFERROR(__xludf.DUMMYFUNCTION("""COMPUTED_VALUE"""),2324.0)</f>
        <v>2324</v>
      </c>
      <c r="M5" s="22">
        <f>IFERROR(__xludf.DUMMYFUNCTION("""COMPUTED_VALUE"""),31600.0)</f>
        <v>31600</v>
      </c>
      <c r="N5" s="19" t="str">
        <f>IFERROR(__xludf.DUMMYFUNCTION("""COMPUTED_VALUE"""),"")</f>
        <v/>
      </c>
      <c r="O5" s="19">
        <f>IFERROR(__xludf.DUMMYFUNCTION("""COMPUTED_VALUE"""),16.0)</f>
        <v>16</v>
      </c>
      <c r="P5" s="19" t="str">
        <f>IFERROR(__xludf.DUMMYFUNCTION("""COMPUTED_VALUE"""),"Consumer Discretionary")</f>
        <v>Consumer Discretionary</v>
      </c>
      <c r="Q5" s="15" t="str">
        <f>IFERROR(__xludf.DUMMYFUNCTION("""COMPUTED_VALUE"""),"")</f>
        <v/>
      </c>
      <c r="R5" s="15" t="str">
        <f>IFERROR(__xludf.DUMMYFUNCTION("""COMPUTED_VALUE"""),"bullish")</f>
        <v>bullish</v>
      </c>
      <c r="S5" s="15" t="str">
        <f>IFERROR(__xludf.DUMMYFUNCTION("""COMPUTED_VALUE"""),"")</f>
        <v/>
      </c>
      <c r="T5" s="15" t="str">
        <f>IFERROR(__xludf.DUMMYFUNCTION("""COMPUTED_VALUE"""),"[Day Vol is Greater than OI]")</f>
        <v>[Day Vol is Greater than OI]</v>
      </c>
    </row>
    <row r="6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</row>
    <row r="7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</row>
    <row r="9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</row>
    <row r="1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  <row r="13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</row>
    <row r="14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</row>
    <row r="1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</row>
    <row r="16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</row>
    <row r="17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</row>
    <row r="18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</row>
    <row r="19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</row>
    <row r="20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</row>
    <row r="2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</row>
    <row r="2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</row>
    <row r="23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</row>
    <row r="24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</row>
    <row r="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26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</row>
    <row r="27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</row>
    <row r="28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</row>
    <row r="29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</row>
    <row r="30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</row>
    <row r="3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</row>
    <row r="3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</row>
    <row r="33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</row>
    <row r="34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</row>
    <row r="35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</row>
    <row r="36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</row>
    <row r="37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</row>
    <row r="38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</row>
    <row r="39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</row>
    <row r="40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</row>
    <row r="4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</row>
    <row r="43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</row>
    <row r="44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</row>
    <row r="4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</row>
    <row r="47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</row>
    <row r="48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</row>
    <row r="49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</row>
    <row r="50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</row>
    <row r="5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</row>
    <row r="5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</row>
    <row r="53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</row>
    <row r="54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</row>
    <row r="5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</row>
    <row r="5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</row>
    <row r="57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</row>
    <row r="58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</row>
    <row r="59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</row>
    <row r="60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</row>
    <row r="6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</row>
    <row r="62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</row>
    <row r="63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</row>
    <row r="64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</row>
    <row r="6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</row>
    <row r="66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</row>
    <row r="67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</row>
    <row r="68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</row>
    <row r="69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</row>
    <row r="70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</row>
    <row r="7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</row>
    <row r="7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</row>
    <row r="73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</row>
    <row r="74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</row>
    <row r="7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</row>
    <row r="76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</row>
    <row r="77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</row>
    <row r="78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</row>
    <row r="79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</row>
    <row r="80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</row>
    <row r="8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</row>
    <row r="8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</row>
    <row r="8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</row>
    <row r="84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</row>
    <row r="8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</row>
    <row r="86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</row>
    <row r="87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</row>
    <row r="88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</row>
    <row r="89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</row>
    <row r="90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</row>
    <row r="9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</row>
    <row r="9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</row>
    <row r="93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</row>
    <row r="9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</row>
    <row r="9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</row>
    <row r="96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</row>
    <row r="97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</row>
    <row r="98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</row>
    <row r="99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</row>
    <row r="100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</row>
    <row r="10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</row>
    <row r="10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</row>
    <row r="10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</row>
    <row r="104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</row>
    <row r="10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</row>
    <row r="106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</row>
    <row r="107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</row>
    <row r="108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</row>
    <row r="109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</row>
    <row r="110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</row>
    <row r="11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</row>
    <row r="11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</row>
    <row r="11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</row>
    <row r="114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</row>
    <row r="11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</row>
    <row r="116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</row>
    <row r="117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</row>
    <row r="118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</row>
    <row r="119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</row>
    <row r="120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</row>
    <row r="12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</row>
    <row r="122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</row>
    <row r="12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</row>
    <row r="124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</row>
    <row r="12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</row>
    <row r="126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</row>
    <row r="127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</row>
    <row r="128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</row>
    <row r="129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</row>
    <row r="130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</row>
    <row r="13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</row>
    <row r="13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</row>
    <row r="13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</row>
    <row r="134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</row>
    <row r="13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</row>
    <row r="136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</row>
    <row r="137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</row>
    <row r="138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</row>
    <row r="139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</row>
    <row r="140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</row>
    <row r="14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</row>
    <row r="14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</row>
    <row r="14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</row>
    <row r="144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</row>
    <row r="14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</row>
    <row r="146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</row>
    <row r="147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</row>
    <row r="148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</row>
    <row r="149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</row>
    <row r="150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</row>
    <row r="15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</row>
    <row r="15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</row>
    <row r="15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</row>
    <row r="154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</row>
    <row r="15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</row>
    <row r="156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</row>
    <row r="157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</row>
    <row r="158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</row>
    <row r="159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</row>
    <row r="160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</row>
    <row r="16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</row>
    <row r="16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</row>
    <row r="16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</row>
    <row r="164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</row>
    <row r="16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</row>
    <row r="166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</row>
    <row r="167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</row>
    <row r="168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</row>
    <row r="169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</row>
    <row r="170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</row>
    <row r="17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</row>
    <row r="17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</row>
    <row r="17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</row>
    <row r="174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</row>
    <row r="17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</row>
    <row r="176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</row>
    <row r="177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</row>
    <row r="178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</row>
    <row r="179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</row>
    <row r="180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</row>
    <row r="18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</row>
    <row r="18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</row>
    <row r="18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</row>
    <row r="184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</row>
    <row r="18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</row>
    <row r="186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</row>
    <row r="187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</row>
    <row r="188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</row>
    <row r="189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</row>
    <row r="190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</row>
    <row r="19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</row>
    <row r="19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</row>
    <row r="19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</row>
    <row r="194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</row>
    <row r="19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</row>
    <row r="196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</row>
    <row r="197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</row>
    <row r="198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</row>
    <row r="199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</row>
    <row r="200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</row>
    <row r="20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</row>
    <row r="20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</row>
    <row r="20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</row>
    <row r="204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</row>
    <row r="20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</row>
    <row r="206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</row>
    <row r="207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</row>
    <row r="208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</row>
    <row r="209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</row>
    <row r="210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</row>
    <row r="21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</row>
    <row r="21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</row>
    <row r="21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</row>
    <row r="214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</row>
    <row r="21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</row>
    <row r="216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</row>
    <row r="217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</row>
    <row r="218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</row>
    <row r="219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</row>
    <row r="220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</row>
    <row r="22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</row>
    <row r="22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</row>
    <row r="22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</row>
    <row r="224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</row>
    <row r="2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</row>
    <row r="226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</row>
    <row r="227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</row>
    <row r="228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</row>
    <row r="229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</row>
    <row r="230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</row>
    <row r="23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</row>
    <row r="23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</row>
    <row r="23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</row>
    <row r="234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</row>
    <row r="23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</row>
    <row r="236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</row>
    <row r="237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</row>
    <row r="238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</row>
    <row r="239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</row>
    <row r="240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</row>
    <row r="24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</row>
    <row r="24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</row>
    <row r="24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</row>
    <row r="244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</row>
    <row r="24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</row>
    <row r="246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</row>
    <row r="247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</row>
    <row r="248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</row>
    <row r="249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</row>
    <row r="250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</row>
    <row r="25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</row>
    <row r="25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</row>
    <row r="25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</row>
    <row r="254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</row>
    <row r="25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</row>
    <row r="256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</row>
    <row r="257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</row>
    <row r="258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</row>
    <row r="259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</row>
    <row r="260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</row>
    <row r="26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</row>
    <row r="26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</row>
    <row r="26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</row>
    <row r="264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</row>
    <row r="26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</row>
    <row r="266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</row>
    <row r="267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</row>
    <row r="268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</row>
    <row r="269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</row>
    <row r="270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</row>
    <row r="27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</row>
    <row r="27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</row>
    <row r="27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</row>
    <row r="274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</row>
    <row r="27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</row>
    <row r="276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</row>
    <row r="277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</row>
    <row r="278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</row>
    <row r="279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</row>
    <row r="280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</row>
    <row r="28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</row>
    <row r="28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</row>
    <row r="28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</row>
    <row r="284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</row>
    <row r="28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</row>
    <row r="286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</row>
    <row r="287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</row>
    <row r="288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</row>
    <row r="289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</row>
    <row r="290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</row>
    <row r="29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</row>
    <row r="29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</row>
    <row r="29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</row>
    <row r="294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</row>
    <row r="29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</row>
    <row r="296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</row>
    <row r="297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</row>
    <row r="298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</row>
    <row r="299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</row>
    <row r="300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</row>
    <row r="30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</row>
    <row r="30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</row>
    <row r="30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</row>
    <row r="304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</row>
    <row r="30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</row>
    <row r="306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</row>
    <row r="307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</row>
    <row r="308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</row>
    <row r="309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</row>
    <row r="310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</row>
    <row r="31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</row>
    <row r="31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</row>
    <row r="31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</row>
    <row r="314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</row>
    <row r="31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</row>
    <row r="316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</row>
    <row r="317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</row>
    <row r="318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</row>
    <row r="319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</row>
    <row r="320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</row>
    <row r="32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</row>
    <row r="32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</row>
    <row r="32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</row>
    <row r="324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</row>
    <row r="3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</row>
    <row r="326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</row>
    <row r="327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</row>
    <row r="328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</row>
    <row r="329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</row>
    <row r="330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</row>
    <row r="33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</row>
    <row r="33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</row>
    <row r="33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</row>
    <row r="334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</row>
    <row r="33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</row>
    <row r="336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</row>
    <row r="337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</row>
    <row r="338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</row>
    <row r="339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</row>
    <row r="340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</row>
    <row r="34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</row>
    <row r="34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</row>
    <row r="34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</row>
    <row r="344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</row>
    <row r="34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</row>
    <row r="346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</row>
    <row r="347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</row>
    <row r="348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</row>
    <row r="349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</row>
    <row r="350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</row>
    <row r="35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</row>
    <row r="35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</row>
    <row r="35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</row>
    <row r="354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</row>
    <row r="35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</row>
    <row r="356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</row>
    <row r="357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</row>
    <row r="358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</row>
    <row r="359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</row>
    <row r="360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</row>
    <row r="36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</row>
    <row r="36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</row>
    <row r="36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</row>
    <row r="364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</row>
    <row r="36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</row>
    <row r="366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</row>
    <row r="367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</row>
    <row r="368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</row>
    <row r="369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</row>
    <row r="370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</row>
    <row r="37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</row>
    <row r="37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</row>
    <row r="37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</row>
    <row r="374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</row>
    <row r="37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</row>
    <row r="376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</row>
    <row r="377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</row>
    <row r="378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</row>
    <row r="379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</row>
    <row r="380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</row>
    <row r="38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</row>
    <row r="38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</row>
    <row r="38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</row>
    <row r="384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</row>
    <row r="38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</row>
    <row r="386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</row>
    <row r="387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</row>
    <row r="388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</row>
    <row r="389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</row>
    <row r="390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</row>
    <row r="39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</row>
    <row r="39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</row>
    <row r="39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</row>
    <row r="394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</row>
    <row r="39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</row>
    <row r="396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</row>
    <row r="397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</row>
    <row r="398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</row>
    <row r="399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</row>
    <row r="400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</row>
    <row r="40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</row>
    <row r="40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</row>
    <row r="40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</row>
    <row r="404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</row>
    <row r="40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</row>
    <row r="406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</row>
    <row r="407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</row>
    <row r="408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</row>
    <row r="409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</row>
    <row r="410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</row>
    <row r="41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</row>
    <row r="41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</row>
    <row r="41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</row>
    <row r="414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</row>
    <row r="41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</row>
    <row r="416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</row>
    <row r="417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</row>
    <row r="418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</row>
    <row r="419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</row>
    <row r="420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</row>
    <row r="42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</row>
    <row r="422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</row>
    <row r="42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</row>
    <row r="424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</row>
    <row r="4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</row>
    <row r="426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</row>
    <row r="427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</row>
    <row r="428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</row>
    <row r="429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</row>
    <row r="430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</row>
    <row r="43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</row>
    <row r="43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</row>
    <row r="43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</row>
    <row r="434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</row>
    <row r="43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</row>
    <row r="436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</row>
    <row r="437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</row>
    <row r="438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</row>
    <row r="439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</row>
    <row r="440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</row>
    <row r="44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</row>
    <row r="442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</row>
    <row r="44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</row>
    <row r="444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</row>
    <row r="44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</row>
    <row r="446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</row>
    <row r="447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</row>
    <row r="448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</row>
    <row r="449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</row>
    <row r="450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</row>
    <row r="45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</row>
    <row r="45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</row>
    <row r="45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</row>
    <row r="454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</row>
    <row r="45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</row>
    <row r="456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</row>
    <row r="457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</row>
    <row r="458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</row>
    <row r="459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</row>
    <row r="460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</row>
    <row r="46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</row>
    <row r="462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</row>
    <row r="46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</row>
    <row r="464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</row>
    <row r="46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</row>
    <row r="466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</row>
    <row r="467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</row>
    <row r="468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</row>
    <row r="469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</row>
    <row r="470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</row>
    <row r="47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</row>
    <row r="47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</row>
    <row r="47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</row>
    <row r="474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</row>
    <row r="47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</row>
    <row r="476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</row>
    <row r="477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</row>
    <row r="478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</row>
    <row r="479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</row>
    <row r="480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</row>
    <row r="48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</row>
    <row r="482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</row>
    <row r="48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</row>
    <row r="484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</row>
    <row r="48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</row>
    <row r="486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</row>
    <row r="487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</row>
    <row r="488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</row>
    <row r="489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</row>
    <row r="490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</row>
    <row r="49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</row>
    <row r="49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</row>
    <row r="49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</row>
    <row r="494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</row>
    <row r="49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</row>
    <row r="496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</row>
    <row r="497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</row>
    <row r="498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</row>
    <row r="499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</row>
    <row r="500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</row>
    <row r="50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</row>
    <row r="502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</row>
    <row r="50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</row>
    <row r="504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</row>
    <row r="50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</row>
    <row r="506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</row>
    <row r="507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</row>
    <row r="508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</row>
    <row r="509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</row>
    <row r="510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</row>
    <row r="51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</row>
    <row r="51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</row>
    <row r="51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</row>
    <row r="514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</row>
    <row r="51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</row>
    <row r="516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</row>
    <row r="517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</row>
    <row r="518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</row>
    <row r="519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</row>
    <row r="520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</row>
    <row r="52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</row>
    <row r="522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</row>
    <row r="52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</row>
    <row r="524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</row>
    <row r="5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</row>
    <row r="526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</row>
    <row r="527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</row>
    <row r="528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</row>
    <row r="529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</row>
    <row r="530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</row>
    <row r="53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</row>
    <row r="53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</row>
    <row r="53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</row>
    <row r="534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</row>
    <row r="53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</row>
    <row r="536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</row>
    <row r="537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</row>
    <row r="538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</row>
    <row r="539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</row>
    <row r="540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</row>
    <row r="54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</row>
    <row r="542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</row>
    <row r="54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</row>
    <row r="544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</row>
    <row r="54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</row>
    <row r="546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</row>
    <row r="547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</row>
    <row r="548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</row>
    <row r="549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</row>
    <row r="550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</row>
    <row r="55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</row>
    <row r="55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</row>
    <row r="55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</row>
    <row r="554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</row>
    <row r="55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</row>
    <row r="556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</row>
    <row r="557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</row>
    <row r="558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</row>
    <row r="559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</row>
    <row r="560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</row>
    <row r="56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</row>
    <row r="562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</row>
    <row r="56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</row>
    <row r="564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</row>
    <row r="56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</row>
    <row r="566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</row>
    <row r="567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</row>
    <row r="568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</row>
    <row r="569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</row>
    <row r="570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</row>
    <row r="57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</row>
    <row r="57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</row>
    <row r="57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</row>
    <row r="574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</row>
    <row r="57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</row>
    <row r="576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</row>
    <row r="577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</row>
    <row r="578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</row>
    <row r="579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</row>
    <row r="580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</row>
    <row r="58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</row>
    <row r="582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</row>
    <row r="58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</row>
    <row r="584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</row>
    <row r="585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</row>
    <row r="586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</row>
    <row r="587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</row>
    <row r="588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</row>
    <row r="589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</row>
    <row r="590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</row>
    <row r="59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</row>
    <row r="59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</row>
    <row r="59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</row>
    <row r="594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</row>
    <row r="59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</row>
    <row r="596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</row>
    <row r="597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</row>
    <row r="598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</row>
    <row r="599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</row>
    <row r="600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</row>
    <row r="60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</row>
    <row r="602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</row>
    <row r="60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</row>
    <row r="604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</row>
    <row r="60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</row>
    <row r="606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</row>
    <row r="607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</row>
    <row r="608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</row>
    <row r="609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</row>
    <row r="610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</row>
    <row r="61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</row>
    <row r="61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</row>
    <row r="61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</row>
    <row r="614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</row>
    <row r="61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</row>
    <row r="616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</row>
    <row r="617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</row>
    <row r="618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</row>
    <row r="619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</row>
    <row r="620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</row>
    <row r="62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</row>
    <row r="622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</row>
    <row r="62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</row>
    <row r="624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</row>
    <row r="6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</row>
    <row r="626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</row>
    <row r="627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</row>
    <row r="628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</row>
    <row r="629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</row>
    <row r="630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</row>
    <row r="63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</row>
    <row r="63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</row>
    <row r="63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</row>
    <row r="634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</row>
    <row r="63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</row>
    <row r="636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</row>
    <row r="637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</row>
    <row r="638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</row>
    <row r="639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</row>
    <row r="640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</row>
    <row r="64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</row>
    <row r="642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</row>
    <row r="64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</row>
    <row r="644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</row>
    <row r="64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</row>
    <row r="646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</row>
    <row r="647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</row>
    <row r="648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</row>
    <row r="649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</row>
    <row r="650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</row>
    <row r="65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</row>
    <row r="65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</row>
    <row r="65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</row>
    <row r="654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</row>
    <row r="65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</row>
    <row r="656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</row>
    <row r="657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</row>
    <row r="658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</row>
    <row r="659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</row>
    <row r="660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</row>
    <row r="66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</row>
    <row r="662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</row>
    <row r="66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</row>
    <row r="664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</row>
    <row r="66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</row>
    <row r="666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</row>
    <row r="667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</row>
    <row r="668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</row>
    <row r="669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</row>
    <row r="670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</row>
    <row r="67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</row>
    <row r="67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</row>
    <row r="67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</row>
    <row r="674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</row>
    <row r="67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</row>
    <row r="676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</row>
    <row r="677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</row>
    <row r="678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</row>
    <row r="679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</row>
    <row r="680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</row>
    <row r="68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</row>
    <row r="682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</row>
    <row r="68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</row>
    <row r="684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</row>
    <row r="68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</row>
    <row r="686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</row>
    <row r="687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</row>
    <row r="688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</row>
    <row r="689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</row>
    <row r="690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</row>
    <row r="69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</row>
    <row r="69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</row>
    <row r="69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</row>
    <row r="694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</row>
    <row r="69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</row>
    <row r="696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</row>
    <row r="697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</row>
    <row r="698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</row>
    <row r="699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</row>
    <row r="700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</row>
    <row r="70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</row>
    <row r="702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</row>
    <row r="70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</row>
    <row r="704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</row>
    <row r="70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</row>
    <row r="706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</row>
    <row r="707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</row>
    <row r="708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</row>
    <row r="709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</row>
    <row r="710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</row>
    <row r="71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</row>
    <row r="71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</row>
    <row r="71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</row>
    <row r="714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</row>
    <row r="71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</row>
    <row r="716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</row>
    <row r="717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</row>
    <row r="718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</row>
    <row r="719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</row>
    <row r="720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</row>
    <row r="72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</row>
    <row r="722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</row>
    <row r="72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</row>
    <row r="724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</row>
    <row r="7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</row>
    <row r="726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</row>
    <row r="727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</row>
    <row r="728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</row>
    <row r="729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</row>
    <row r="730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</row>
    <row r="73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</row>
    <row r="73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</row>
    <row r="73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</row>
    <row r="734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</row>
    <row r="73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</row>
    <row r="736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</row>
    <row r="737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</row>
    <row r="738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</row>
    <row r="739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</row>
    <row r="740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</row>
    <row r="74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</row>
    <row r="742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</row>
    <row r="74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</row>
    <row r="744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</row>
    <row r="74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</row>
    <row r="746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</row>
    <row r="747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</row>
    <row r="748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</row>
    <row r="749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</row>
    <row r="750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</row>
    <row r="75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</row>
    <row r="75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</row>
    <row r="75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</row>
    <row r="754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</row>
    <row r="75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</row>
    <row r="756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</row>
    <row r="757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</row>
    <row r="758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</row>
    <row r="759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</row>
    <row r="760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</row>
    <row r="76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</row>
    <row r="762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</row>
    <row r="76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</row>
    <row r="764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</row>
    <row r="76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</row>
    <row r="766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</row>
    <row r="767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</row>
    <row r="768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</row>
    <row r="769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</row>
    <row r="770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</row>
    <row r="77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</row>
    <row r="77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</row>
    <row r="77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</row>
    <row r="774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</row>
    <row r="77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</row>
    <row r="776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</row>
    <row r="777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</row>
    <row r="778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</row>
    <row r="779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</row>
    <row r="780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</row>
    <row r="78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</row>
    <row r="782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</row>
    <row r="78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</row>
    <row r="784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</row>
    <row r="78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</row>
    <row r="786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</row>
    <row r="787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</row>
    <row r="788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</row>
    <row r="789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</row>
    <row r="790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</row>
    <row r="79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</row>
    <row r="79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</row>
    <row r="79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</row>
    <row r="794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</row>
    <row r="79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</row>
    <row r="796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</row>
    <row r="797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</row>
    <row r="798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</row>
    <row r="799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</row>
    <row r="800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</row>
    <row r="80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</row>
    <row r="802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</row>
    <row r="80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</row>
    <row r="804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</row>
    <row r="80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</row>
    <row r="806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</row>
    <row r="807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</row>
    <row r="808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</row>
    <row r="809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</row>
    <row r="810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</row>
    <row r="81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</row>
    <row r="81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</row>
    <row r="81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</row>
    <row r="814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</row>
    <row r="81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</row>
    <row r="816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</row>
    <row r="817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</row>
    <row r="818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</row>
    <row r="819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</row>
    <row r="820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</row>
    <row r="82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</row>
    <row r="822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</row>
    <row r="82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</row>
    <row r="824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</row>
    <row r="8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</row>
    <row r="826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</row>
    <row r="827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</row>
    <row r="828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</row>
    <row r="829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</row>
    <row r="830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</row>
    <row r="83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</row>
    <row r="83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</row>
    <row r="83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</row>
    <row r="834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</row>
    <row r="83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</row>
    <row r="836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</row>
    <row r="837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</row>
    <row r="838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</row>
    <row r="839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</row>
    <row r="840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</row>
    <row r="84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</row>
    <row r="842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</row>
    <row r="84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</row>
    <row r="844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</row>
    <row r="84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</row>
    <row r="846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</row>
    <row r="847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</row>
    <row r="848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</row>
    <row r="849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</row>
    <row r="850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</row>
    <row r="85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</row>
    <row r="85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</row>
    <row r="85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</row>
    <row r="854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</row>
    <row r="85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</row>
    <row r="856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</row>
    <row r="857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</row>
    <row r="858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</row>
    <row r="859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</row>
    <row r="860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</row>
    <row r="86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</row>
    <row r="862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</row>
    <row r="86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</row>
    <row r="864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</row>
    <row r="86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</row>
    <row r="866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</row>
    <row r="867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</row>
    <row r="868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</row>
    <row r="869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</row>
    <row r="870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</row>
    <row r="87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</row>
    <row r="87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</row>
    <row r="87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</row>
    <row r="874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</row>
    <row r="87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</row>
    <row r="876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</row>
    <row r="877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</row>
    <row r="878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</row>
    <row r="879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</row>
    <row r="880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</row>
    <row r="88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</row>
    <row r="882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</row>
    <row r="88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</row>
    <row r="884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</row>
    <row r="88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</row>
    <row r="886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</row>
    <row r="887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</row>
    <row r="888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</row>
    <row r="889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</row>
    <row r="890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</row>
    <row r="89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</row>
    <row r="89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</row>
    <row r="89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</row>
    <row r="894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</row>
    <row r="89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</row>
    <row r="896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</row>
    <row r="897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</row>
    <row r="898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</row>
    <row r="899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</row>
    <row r="900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</row>
    <row r="90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</row>
    <row r="902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</row>
    <row r="90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</row>
    <row r="904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</row>
    <row r="90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</row>
    <row r="906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</row>
    <row r="907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</row>
    <row r="908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</row>
    <row r="909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</row>
    <row r="910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</row>
    <row r="91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</row>
    <row r="91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</row>
    <row r="91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</row>
    <row r="914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</row>
    <row r="91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</row>
    <row r="916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</row>
    <row r="917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</row>
    <row r="918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</row>
    <row r="919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</row>
    <row r="920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</row>
    <row r="92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</row>
    <row r="922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</row>
    <row r="92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</row>
    <row r="924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</row>
    <row r="9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</row>
    <row r="926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</row>
    <row r="927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</row>
    <row r="928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</row>
    <row r="929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</row>
    <row r="930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</row>
    <row r="93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</row>
    <row r="93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</row>
    <row r="93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</row>
    <row r="934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</row>
    <row r="93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</row>
    <row r="936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</row>
    <row r="937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</row>
    <row r="938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</row>
    <row r="939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</row>
    <row r="940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</row>
    <row r="94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</row>
    <row r="942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</row>
    <row r="94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</row>
    <row r="944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</row>
    <row r="94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</row>
    <row r="946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</row>
    <row r="947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</row>
    <row r="948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</row>
    <row r="949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</row>
    <row r="950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</row>
    <row r="95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</row>
    <row r="95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</row>
    <row r="95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</row>
    <row r="954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</row>
    <row r="95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</row>
    <row r="956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</row>
    <row r="957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</row>
    <row r="958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</row>
    <row r="959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</row>
    <row r="960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</row>
    <row r="96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</row>
    <row r="962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</row>
    <row r="96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</row>
    <row r="964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</row>
    <row r="96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</row>
    <row r="966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</row>
    <row r="967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</row>
    <row r="968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</row>
    <row r="969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</row>
    <row r="970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</row>
    <row r="97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</row>
    <row r="97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</row>
    <row r="97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</row>
    <row r="974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</row>
    <row r="97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</row>
    <row r="976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</row>
    <row r="977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</row>
    <row r="978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</row>
    <row r="979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</row>
    <row r="980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</row>
    <row r="98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</row>
    <row r="982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</row>
    <row r="98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</row>
    <row r="984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</row>
    <row r="98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</row>
    <row r="986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</row>
    <row r="987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</row>
    <row r="988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</row>
    <row r="989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</row>
    <row r="990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</row>
    <row r="99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</row>
    <row r="99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</row>
    <row r="99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</row>
    <row r="994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</row>
    <row r="99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</row>
    <row r="996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</row>
    <row r="997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</row>
    <row r="998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</row>
    <row r="999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</row>
    <row r="1000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</row>
  </sheetData>
  <autoFilter ref="$A$2:$AB$34"/>
  <conditionalFormatting sqref="E2">
    <cfRule type="expression" dxfId="0" priority="1">
      <formula>OR(AND(($F3="CALLS"),($E3&lt;$G3)),AND(($F3="PUTS"),($E3&gt;$G3)))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10.71"/>
    <col customWidth="1" min="3" max="3" width="6.57"/>
    <col customWidth="1" min="4" max="4" width="8.43"/>
    <col customWidth="1" min="5" max="5" width="6.29"/>
    <col customWidth="1" min="6" max="6" width="8.0"/>
    <col customWidth="1" min="7" max="7" width="10.29"/>
    <col customWidth="1" min="8" max="8" width="8.71"/>
    <col customWidth="1" min="9" max="9" width="5.71"/>
    <col customWidth="1" min="10" max="10" width="10.86"/>
    <col customWidth="1" min="11" max="11" width="7.71"/>
    <col customWidth="1" min="12" max="12" width="8.71"/>
    <col customWidth="1" min="13" max="13" width="13.57"/>
    <col customWidth="1" min="14" max="14" width="10.0"/>
    <col customWidth="1" min="15" max="15" width="11.0"/>
    <col customWidth="1" min="16" max="16" width="22.43"/>
    <col customWidth="1" min="18" max="18" width="10.14"/>
    <col customWidth="1" min="19" max="19" width="14.0"/>
    <col customWidth="1" min="20" max="20" width="65.14"/>
  </cols>
  <sheetData>
    <row r="1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3" t="s">
        <v>13</v>
      </c>
      <c r="N1" s="5" t="s">
        <v>14</v>
      </c>
      <c r="O1" s="7" t="s">
        <v>16</v>
      </c>
      <c r="P1" s="1" t="s">
        <v>18</v>
      </c>
      <c r="Q1" s="1" t="s">
        <v>19</v>
      </c>
      <c r="R1" s="1" t="s">
        <v>20</v>
      </c>
      <c r="S1" s="1" t="s">
        <v>21</v>
      </c>
      <c r="T1" s="1" t="s">
        <v>22</v>
      </c>
      <c r="U1" s="9"/>
      <c r="V1" s="9"/>
      <c r="W1" s="9"/>
      <c r="X1" s="9"/>
      <c r="Y1" s="9"/>
      <c r="Z1" s="9"/>
      <c r="AA1" s="9"/>
      <c r="AB1" s="9"/>
    </row>
    <row r="2">
      <c r="A2" s="13">
        <f>IFERROR(__xludf.DUMMYFUNCTION("filter(Realtime_Options!A2:T1000,Realtime_Options!Q2:Q1000=TRUE)"),43866.0)</f>
        <v>43866</v>
      </c>
      <c r="B2" s="14">
        <f>IFERROR(__xludf.DUMMYFUNCTION("""COMPUTED_VALUE"""),0.6541666666666667)</f>
        <v>0.6541666667</v>
      </c>
      <c r="C2" s="15" t="str">
        <f>IFERROR(__xludf.DUMMYFUNCTION("""COMPUTED_VALUE"""),"GDDY")</f>
        <v>GDDY</v>
      </c>
      <c r="D2" s="17">
        <f>IFERROR(__xludf.DUMMYFUNCTION("""COMPUTED_VALUE"""),43882.0)</f>
        <v>43882</v>
      </c>
      <c r="E2" s="15">
        <f>IFERROR(__xludf.DUMMYFUNCTION("""COMPUTED_VALUE"""),75.0)</f>
        <v>75</v>
      </c>
      <c r="F2" s="15" t="str">
        <f>IFERROR(__xludf.DUMMYFUNCTION("""COMPUTED_VALUE"""),"CALLS")</f>
        <v>CALLS</v>
      </c>
      <c r="G2" s="15">
        <f>IFERROR(__xludf.DUMMYFUNCTION("""COMPUTED_VALUE"""),68.49)</f>
        <v>68.49</v>
      </c>
      <c r="H2" s="15">
        <f>IFERROR(__xludf.DUMMYFUNCTION("""COMPUTED_VALUE"""),1308.0)</f>
        <v>1308</v>
      </c>
      <c r="I2" s="15">
        <f>IFERROR(__xludf.DUMMYFUNCTION("""COMPUTED_VALUE"""),0.63)</f>
        <v>0.63</v>
      </c>
      <c r="J2" s="15" t="str">
        <f>IFERROR(__xludf.DUMMYFUNCTION("""COMPUTED_VALUE"""),"SPLIT")</f>
        <v>SPLIT</v>
      </c>
      <c r="K2" s="15">
        <f>IFERROR(__xludf.DUMMYFUNCTION("""COMPUTED_VALUE"""),2507.0)</f>
        <v>2507</v>
      </c>
      <c r="L2" s="15">
        <f>IFERROR(__xludf.DUMMYFUNCTION("""COMPUTED_VALUE"""),948.0)</f>
        <v>948</v>
      </c>
      <c r="M2" s="20">
        <f>IFERROR(__xludf.DUMMYFUNCTION("""COMPUTED_VALUE"""),82400.0)</f>
        <v>82400</v>
      </c>
      <c r="N2" s="15" t="str">
        <f>IFERROR(__xludf.DUMMYFUNCTION("""COMPUTED_VALUE"""),"")</f>
        <v/>
      </c>
      <c r="O2" s="19">
        <f>IFERROR(__xludf.DUMMYFUNCTION("""COMPUTED_VALUE"""),70.0)</f>
        <v>70</v>
      </c>
      <c r="P2" s="15" t="str">
        <f>IFERROR(__xludf.DUMMYFUNCTION("""COMPUTED_VALUE"""),"Technology")</f>
        <v>Technology</v>
      </c>
      <c r="Q2" s="15" t="b">
        <f>IFERROR(__xludf.DUMMYFUNCTION("""COMPUTED_VALUE"""),TRUE)</f>
        <v>1</v>
      </c>
      <c r="R2" s="15" t="str">
        <f>IFERROR(__xludf.DUMMYFUNCTION("""COMPUTED_VALUE"""),"bullish")</f>
        <v>bullish</v>
      </c>
      <c r="S2" s="15" t="str">
        <f>IFERROR(__xludf.DUMMYFUNCTION("""COMPUTED_VALUE"""),"")</f>
        <v/>
      </c>
      <c r="T2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3">
      <c r="A3" s="13">
        <f>IFERROR(__xludf.DUMMYFUNCTION("""COMPUTED_VALUE"""),43866.0)</f>
        <v>43866</v>
      </c>
      <c r="B3" s="14">
        <f>IFERROR(__xludf.DUMMYFUNCTION("""COMPUTED_VALUE"""),0.6534722222222222)</f>
        <v>0.6534722222</v>
      </c>
      <c r="C3" s="15" t="str">
        <f>IFERROR(__xludf.DUMMYFUNCTION("""COMPUTED_VALUE"""),"GDDY")</f>
        <v>GDDY</v>
      </c>
      <c r="D3" s="17">
        <f>IFERROR(__xludf.DUMMYFUNCTION("""COMPUTED_VALUE"""),43882.0)</f>
        <v>43882</v>
      </c>
      <c r="E3" s="15">
        <f>IFERROR(__xludf.DUMMYFUNCTION("""COMPUTED_VALUE"""),75.0)</f>
        <v>75</v>
      </c>
      <c r="F3" s="15" t="str">
        <f>IFERROR(__xludf.DUMMYFUNCTION("""COMPUTED_VALUE"""),"CALLS")</f>
        <v>CALLS</v>
      </c>
      <c r="G3" s="15">
        <f>IFERROR(__xludf.DUMMYFUNCTION("""COMPUTED_VALUE"""),68.58)</f>
        <v>68.58</v>
      </c>
      <c r="H3" s="15">
        <f>IFERROR(__xludf.DUMMYFUNCTION("""COMPUTED_VALUE"""),1175.0)</f>
        <v>1175</v>
      </c>
      <c r="I3" s="15">
        <f>IFERROR(__xludf.DUMMYFUNCTION("""COMPUTED_VALUE"""),0.55)</f>
        <v>0.55</v>
      </c>
      <c r="J3" s="15" t="str">
        <f>IFERROR(__xludf.DUMMYFUNCTION("""COMPUTED_VALUE"""),"SWEEP")</f>
        <v>SWEEP</v>
      </c>
      <c r="K3" s="15">
        <f>IFERROR(__xludf.DUMMYFUNCTION("""COMPUTED_VALUE"""),1180.0)</f>
        <v>1180</v>
      </c>
      <c r="L3" s="15">
        <f>IFERROR(__xludf.DUMMYFUNCTION("""COMPUTED_VALUE"""),948.0)</f>
        <v>948</v>
      </c>
      <c r="M3" s="20">
        <f>IFERROR(__xludf.DUMMYFUNCTION("""COMPUTED_VALUE"""),64625.0)</f>
        <v>64625</v>
      </c>
      <c r="N3" s="15" t="str">
        <f>IFERROR(__xludf.DUMMYFUNCTION("""COMPUTED_VALUE"""),"")</f>
        <v/>
      </c>
      <c r="O3" s="19">
        <f>IFERROR(__xludf.DUMMYFUNCTION("""COMPUTED_VALUE"""),80.0)</f>
        <v>80</v>
      </c>
      <c r="P3" s="15" t="str">
        <f>IFERROR(__xludf.DUMMYFUNCTION("""COMPUTED_VALUE"""),"Technology")</f>
        <v>Technology</v>
      </c>
      <c r="Q3" s="15" t="b">
        <f>IFERROR(__xludf.DUMMYFUNCTION("""COMPUTED_VALUE"""),TRUE)</f>
        <v>1</v>
      </c>
      <c r="R3" s="15" t="str">
        <f>IFERROR(__xludf.DUMMYFUNCTION("""COMPUTED_VALUE"""),"bullish")</f>
        <v>bullish</v>
      </c>
      <c r="S3" s="15" t="str">
        <f>IFERROR(__xludf.DUMMYFUNCTION("""COMPUTED_VALUE"""),"")</f>
        <v/>
      </c>
      <c r="T3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4">
      <c r="A4" s="13">
        <f>IFERROR(__xludf.DUMMYFUNCTION("""COMPUTED_VALUE"""),43866.0)</f>
        <v>43866</v>
      </c>
      <c r="B4" s="14">
        <f>IFERROR(__xludf.DUMMYFUNCTION("""COMPUTED_VALUE"""),0.6527777777777778)</f>
        <v>0.6527777778</v>
      </c>
      <c r="C4" s="15" t="str">
        <f>IFERROR(__xludf.DUMMYFUNCTION("""COMPUTED_VALUE"""),"UBER")</f>
        <v>UBER</v>
      </c>
      <c r="D4" s="17">
        <f>IFERROR(__xludf.DUMMYFUNCTION("""COMPUTED_VALUE"""),43882.0)</f>
        <v>43882</v>
      </c>
      <c r="E4" s="15">
        <f>IFERROR(__xludf.DUMMYFUNCTION("""COMPUTED_VALUE"""),41.5)</f>
        <v>41.5</v>
      </c>
      <c r="F4" s="15" t="str">
        <f>IFERROR(__xludf.DUMMYFUNCTION("""COMPUTED_VALUE"""),"CALLS")</f>
        <v>CALLS</v>
      </c>
      <c r="G4" s="15">
        <f>IFERROR(__xludf.DUMMYFUNCTION("""COMPUTED_VALUE"""),37.0)</f>
        <v>37</v>
      </c>
      <c r="H4" s="15">
        <f>IFERROR(__xludf.DUMMYFUNCTION("""COMPUTED_VALUE"""),518.0)</f>
        <v>518</v>
      </c>
      <c r="I4" s="15">
        <f>IFERROR(__xludf.DUMMYFUNCTION("""COMPUTED_VALUE"""),0.63)</f>
        <v>0.63</v>
      </c>
      <c r="J4" s="15" t="str">
        <f>IFERROR(__xludf.DUMMYFUNCTION("""COMPUTED_VALUE"""),"SWEEP")</f>
        <v>SWEEP</v>
      </c>
      <c r="K4" s="15">
        <f>IFERROR(__xludf.DUMMYFUNCTION("""COMPUTED_VALUE"""),559.0)</f>
        <v>559</v>
      </c>
      <c r="L4" s="15">
        <f>IFERROR(__xludf.DUMMYFUNCTION("""COMPUTED_VALUE"""),320.0)</f>
        <v>320</v>
      </c>
      <c r="M4" s="20">
        <f>IFERROR(__xludf.DUMMYFUNCTION("""COMPUTED_VALUE"""),32634.0)</f>
        <v>32634</v>
      </c>
      <c r="N4" s="15" t="str">
        <f>IFERROR(__xludf.DUMMYFUNCTION("""COMPUTED_VALUE"""),"")</f>
        <v/>
      </c>
      <c r="O4" s="19">
        <f>IFERROR(__xludf.DUMMYFUNCTION("""COMPUTED_VALUE"""),76.0)</f>
        <v>76</v>
      </c>
      <c r="P4" s="15" t="str">
        <f>IFERROR(__xludf.DUMMYFUNCTION("""COMPUTED_VALUE"""),"Technology")</f>
        <v>Technology</v>
      </c>
      <c r="Q4" s="15" t="b">
        <f>IFERROR(__xludf.DUMMYFUNCTION("""COMPUTED_VALUE"""),TRUE)</f>
        <v>1</v>
      </c>
      <c r="R4" s="15" t="str">
        <f>IFERROR(__xludf.DUMMYFUNCTION("""COMPUTED_VALUE"""),"bullish")</f>
        <v>bullish</v>
      </c>
      <c r="S4" s="15" t="str">
        <f>IFERROR(__xludf.DUMMYFUNCTION("""COMPUTED_VALUE"""),"")</f>
        <v/>
      </c>
      <c r="T4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5">
      <c r="A5" s="13">
        <f>IFERROR(__xludf.DUMMYFUNCTION("""COMPUTED_VALUE"""),43866.0)</f>
        <v>43866</v>
      </c>
      <c r="B5" s="14">
        <f>IFERROR(__xludf.DUMMYFUNCTION("""COMPUTED_VALUE"""),0.6520833333333333)</f>
        <v>0.6520833333</v>
      </c>
      <c r="C5" s="15" t="str">
        <f>IFERROR(__xludf.DUMMYFUNCTION("""COMPUTED_VALUE"""),"UBER")</f>
        <v>UBER</v>
      </c>
      <c r="D5" s="17">
        <f>IFERROR(__xludf.DUMMYFUNCTION("""COMPUTED_VALUE"""),43875.0)</f>
        <v>43875</v>
      </c>
      <c r="E5" s="15">
        <f>IFERROR(__xludf.DUMMYFUNCTION("""COMPUTED_VALUE"""),41.0)</f>
        <v>41</v>
      </c>
      <c r="F5" s="15" t="str">
        <f>IFERROR(__xludf.DUMMYFUNCTION("""COMPUTED_VALUE"""),"CALLS")</f>
        <v>CALLS</v>
      </c>
      <c r="G5" s="15">
        <f>IFERROR(__xludf.DUMMYFUNCTION("""COMPUTED_VALUE"""),37.01)</f>
        <v>37.01</v>
      </c>
      <c r="H5" s="15">
        <f>IFERROR(__xludf.DUMMYFUNCTION("""COMPUTED_VALUE"""),2006.0)</f>
        <v>2006</v>
      </c>
      <c r="I5" s="15">
        <f>IFERROR(__xludf.DUMMYFUNCTION("""COMPUTED_VALUE"""),0.64)</f>
        <v>0.64</v>
      </c>
      <c r="J5" s="15" t="str">
        <f>IFERROR(__xludf.DUMMYFUNCTION("""COMPUTED_VALUE"""),"SWEEP")</f>
        <v>SWEEP</v>
      </c>
      <c r="K5" s="15">
        <f>IFERROR(__xludf.DUMMYFUNCTION("""COMPUTED_VALUE"""),2250.0)</f>
        <v>2250</v>
      </c>
      <c r="L5" s="15">
        <f>IFERROR(__xludf.DUMMYFUNCTION("""COMPUTED_VALUE"""),1501.0)</f>
        <v>1501</v>
      </c>
      <c r="M5" s="20">
        <f>IFERROR(__xludf.DUMMYFUNCTION("""COMPUTED_VALUE"""),128384.0)</f>
        <v>128384</v>
      </c>
      <c r="N5" s="15" t="str">
        <f>IFERROR(__xludf.DUMMYFUNCTION("""COMPUTED_VALUE"""),"")</f>
        <v/>
      </c>
      <c r="O5" s="19">
        <f>IFERROR(__xludf.DUMMYFUNCTION("""COMPUTED_VALUE"""),83.0)</f>
        <v>83</v>
      </c>
      <c r="P5" s="15" t="str">
        <f>IFERROR(__xludf.DUMMYFUNCTION("""COMPUTED_VALUE"""),"Technology")</f>
        <v>Technology</v>
      </c>
      <c r="Q5" s="15" t="b">
        <f>IFERROR(__xludf.DUMMYFUNCTION("""COMPUTED_VALUE"""),TRUE)</f>
        <v>1</v>
      </c>
      <c r="R5" s="15" t="str">
        <f>IFERROR(__xludf.DUMMYFUNCTION("""COMPUTED_VALUE"""),"bullish")</f>
        <v>bullish</v>
      </c>
      <c r="S5" s="15" t="str">
        <f>IFERROR(__xludf.DUMMYFUNCTION("""COMPUTED_VALUE"""),"")</f>
        <v/>
      </c>
      <c r="T5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6">
      <c r="A6" s="13">
        <f>IFERROR(__xludf.DUMMYFUNCTION("""COMPUTED_VALUE"""),43866.0)</f>
        <v>43866</v>
      </c>
      <c r="B6" s="14">
        <f>IFERROR(__xludf.DUMMYFUNCTION("""COMPUTED_VALUE"""),0.6298611111111111)</f>
        <v>0.6298611111</v>
      </c>
      <c r="C6" s="15" t="str">
        <f>IFERROR(__xludf.DUMMYFUNCTION("""COMPUTED_VALUE"""),"BE")</f>
        <v>BE</v>
      </c>
      <c r="D6" s="17">
        <f>IFERROR(__xludf.DUMMYFUNCTION("""COMPUTED_VALUE"""),43882.0)</f>
        <v>43882</v>
      </c>
      <c r="E6" s="15">
        <f>IFERROR(__xludf.DUMMYFUNCTION("""COMPUTED_VALUE"""),11.0)</f>
        <v>11</v>
      </c>
      <c r="F6" s="15" t="str">
        <f>IFERROR(__xludf.DUMMYFUNCTION("""COMPUTED_VALUE"""),"CALLS")</f>
        <v>CALLS</v>
      </c>
      <c r="G6" s="15">
        <f>IFERROR(__xludf.DUMMYFUNCTION("""COMPUTED_VALUE"""),9.35)</f>
        <v>9.35</v>
      </c>
      <c r="H6" s="15">
        <f>IFERROR(__xludf.DUMMYFUNCTION("""COMPUTED_VALUE"""),500.0)</f>
        <v>500</v>
      </c>
      <c r="I6" s="15">
        <f>IFERROR(__xludf.DUMMYFUNCTION("""COMPUTED_VALUE"""),0.35)</f>
        <v>0.35</v>
      </c>
      <c r="J6" s="15" t="str">
        <f>IFERROR(__xludf.DUMMYFUNCTION("""COMPUTED_VALUE"""),"BLOCK")</f>
        <v>BLOCK</v>
      </c>
      <c r="K6" s="15">
        <f>IFERROR(__xludf.DUMMYFUNCTION("""COMPUTED_VALUE"""),853.0)</f>
        <v>853</v>
      </c>
      <c r="L6" s="15">
        <f>IFERROR(__xludf.DUMMYFUNCTION("""COMPUTED_VALUE"""),3748.0)</f>
        <v>3748</v>
      </c>
      <c r="M6" s="20">
        <f>IFERROR(__xludf.DUMMYFUNCTION("""COMPUTED_VALUE"""),17500.0)</f>
        <v>17500</v>
      </c>
      <c r="N6" s="15" t="str">
        <f>IFERROR(__xludf.DUMMYFUNCTION("""COMPUTED_VALUE"""),"")</f>
        <v/>
      </c>
      <c r="O6" s="19">
        <f>IFERROR(__xludf.DUMMYFUNCTION("""COMPUTED_VALUE"""),48.0)</f>
        <v>48</v>
      </c>
      <c r="P6" s="15" t="str">
        <f>IFERROR(__xludf.DUMMYFUNCTION("""COMPUTED_VALUE"""),"Industrials")</f>
        <v>Industrials</v>
      </c>
      <c r="Q6" s="15" t="b">
        <f>IFERROR(__xludf.DUMMYFUNCTION("""COMPUTED_VALUE"""),TRUE)</f>
        <v>1</v>
      </c>
      <c r="R6" s="15" t="str">
        <f>IFERROR(__xludf.DUMMYFUNCTION("""COMPUTED_VALUE"""),"bullish")</f>
        <v>bullish</v>
      </c>
      <c r="S6" s="15" t="str">
        <f>IFERROR(__xludf.DUMMYFUNCTION("""COMPUTED_VALUE"""),"")</f>
        <v/>
      </c>
      <c r="T6" s="15" t="str">
        <f>IFERROR(__xludf.DUMMYFUNCTION("""COMPUTED_VALUE"""),"[Unusual Order]")</f>
        <v>[Unusual Order]</v>
      </c>
    </row>
    <row r="7">
      <c r="A7" s="13">
        <f>IFERROR(__xludf.DUMMYFUNCTION("""COMPUTED_VALUE"""),43866.0)</f>
        <v>43866</v>
      </c>
      <c r="B7" s="14">
        <f>IFERROR(__xludf.DUMMYFUNCTION("""COMPUTED_VALUE"""),0.6201388888888889)</f>
        <v>0.6201388889</v>
      </c>
      <c r="C7" s="15" t="str">
        <f>IFERROR(__xludf.DUMMYFUNCTION("""COMPUTED_VALUE"""),"GRUB")</f>
        <v>GRUB</v>
      </c>
      <c r="D7" s="17">
        <f>IFERROR(__xludf.DUMMYFUNCTION("""COMPUTED_VALUE"""),43868.0)</f>
        <v>43868</v>
      </c>
      <c r="E7" s="15">
        <f>IFERROR(__xludf.DUMMYFUNCTION("""COMPUTED_VALUE"""),67.0)</f>
        <v>67</v>
      </c>
      <c r="F7" s="15" t="str">
        <f>IFERROR(__xludf.DUMMYFUNCTION("""COMPUTED_VALUE"""),"CALLS")</f>
        <v>CALLS</v>
      </c>
      <c r="G7" s="15">
        <f>IFERROR(__xludf.DUMMYFUNCTION("""COMPUTED_VALUE"""),55.61)</f>
        <v>55.61</v>
      </c>
      <c r="H7" s="15">
        <f>IFERROR(__xludf.DUMMYFUNCTION("""COMPUTED_VALUE"""),500.0)</f>
        <v>500</v>
      </c>
      <c r="I7" s="15">
        <f>IFERROR(__xludf.DUMMYFUNCTION("""COMPUTED_VALUE"""),0.8)</f>
        <v>0.8</v>
      </c>
      <c r="J7" s="15" t="str">
        <f>IFERROR(__xludf.DUMMYFUNCTION("""COMPUTED_VALUE"""),"SWEEP")</f>
        <v>SWEEP</v>
      </c>
      <c r="K7" s="15">
        <f>IFERROR(__xludf.DUMMYFUNCTION("""COMPUTED_VALUE"""),569.0)</f>
        <v>569</v>
      </c>
      <c r="L7" s="15">
        <f>IFERROR(__xludf.DUMMYFUNCTION("""COMPUTED_VALUE"""),2023.0)</f>
        <v>2023</v>
      </c>
      <c r="M7" s="20">
        <f>IFERROR(__xludf.DUMMYFUNCTION("""COMPUTED_VALUE"""),40000.0)</f>
        <v>40000</v>
      </c>
      <c r="N7" s="15" t="str">
        <f>IFERROR(__xludf.DUMMYFUNCTION("""COMPUTED_VALUE"""),"")</f>
        <v/>
      </c>
      <c r="O7" s="19">
        <f>IFERROR(__xludf.DUMMYFUNCTION("""COMPUTED_VALUE"""),61.0)</f>
        <v>61</v>
      </c>
      <c r="P7" s="15" t="str">
        <f>IFERROR(__xludf.DUMMYFUNCTION("""COMPUTED_VALUE"""),"Consumer Discretionary")</f>
        <v>Consumer Discretionary</v>
      </c>
      <c r="Q7" s="15" t="b">
        <f>IFERROR(__xludf.DUMMYFUNCTION("""COMPUTED_VALUE"""),TRUE)</f>
        <v>1</v>
      </c>
      <c r="R7" s="15" t="str">
        <f>IFERROR(__xludf.DUMMYFUNCTION("""COMPUTED_VALUE"""),"bullish")</f>
        <v>bullish</v>
      </c>
      <c r="S7" s="15" t="str">
        <f>IFERROR(__xludf.DUMMYFUNCTION("""COMPUTED_VALUE"""),"")</f>
        <v/>
      </c>
      <c r="T7" s="15" t="str">
        <f>IFERROR(__xludf.DUMMYFUNCTION("""COMPUTED_VALUE"""),"[Unusual Order]")</f>
        <v>[Unusual Order]</v>
      </c>
    </row>
    <row r="8">
      <c r="A8" s="13">
        <f>IFERROR(__xludf.DUMMYFUNCTION("""COMPUTED_VALUE"""),43866.0)</f>
        <v>43866</v>
      </c>
      <c r="B8" s="14">
        <f>IFERROR(__xludf.DUMMYFUNCTION("""COMPUTED_VALUE"""),0.5958333333333333)</f>
        <v>0.5958333333</v>
      </c>
      <c r="C8" s="15" t="str">
        <f>IFERROR(__xludf.DUMMYFUNCTION("""COMPUTED_VALUE"""),"QD")</f>
        <v>QD</v>
      </c>
      <c r="D8" s="17">
        <f>IFERROR(__xludf.DUMMYFUNCTION("""COMPUTED_VALUE"""),43882.0)</f>
        <v>43882</v>
      </c>
      <c r="E8" s="15">
        <f>IFERROR(__xludf.DUMMYFUNCTION("""COMPUTED_VALUE"""),3.0)</f>
        <v>3</v>
      </c>
      <c r="F8" s="15" t="str">
        <f>IFERROR(__xludf.DUMMYFUNCTION("""COMPUTED_VALUE"""),"CALLS")</f>
        <v>CALLS</v>
      </c>
      <c r="G8" s="15">
        <f>IFERROR(__xludf.DUMMYFUNCTION("""COMPUTED_VALUE"""),2.78)</f>
        <v>2.78</v>
      </c>
      <c r="H8" s="15">
        <f>IFERROR(__xludf.DUMMYFUNCTION("""COMPUTED_VALUE"""),600.0)</f>
        <v>600</v>
      </c>
      <c r="I8" s="15">
        <f>IFERROR(__xludf.DUMMYFUNCTION("""COMPUTED_VALUE"""),0.2)</f>
        <v>0.2</v>
      </c>
      <c r="J8" s="15" t="str">
        <f>IFERROR(__xludf.DUMMYFUNCTION("""COMPUTED_VALUE"""),"SWEEP")</f>
        <v>SWEEP</v>
      </c>
      <c r="K8" s="15">
        <f>IFERROR(__xludf.DUMMYFUNCTION("""COMPUTED_VALUE"""),668.0)</f>
        <v>668</v>
      </c>
      <c r="L8" s="15">
        <f>IFERROR(__xludf.DUMMYFUNCTION("""COMPUTED_VALUE"""),12497.0)</f>
        <v>12497</v>
      </c>
      <c r="M8" s="20">
        <f>IFERROR(__xludf.DUMMYFUNCTION("""COMPUTED_VALUE"""),11760.0)</f>
        <v>11760</v>
      </c>
      <c r="N8" s="15" t="str">
        <f>IFERROR(__xludf.DUMMYFUNCTION("""COMPUTED_VALUE"""),"")</f>
        <v/>
      </c>
      <c r="O8" s="19">
        <f>IFERROR(__xludf.DUMMYFUNCTION("""COMPUTED_VALUE"""),52.0)</f>
        <v>52</v>
      </c>
      <c r="P8" s="15" t="str">
        <f>IFERROR(__xludf.DUMMYFUNCTION("""COMPUTED_VALUE"""),"Technology")</f>
        <v>Technology</v>
      </c>
      <c r="Q8" s="15" t="b">
        <f>IFERROR(__xludf.DUMMYFUNCTION("""COMPUTED_VALUE"""),TRUE)</f>
        <v>1</v>
      </c>
      <c r="R8" s="15" t="str">
        <f>IFERROR(__xludf.DUMMYFUNCTION("""COMPUTED_VALUE"""),"bullish")</f>
        <v>bullish</v>
      </c>
      <c r="S8" s="15" t="str">
        <f>IFERROR(__xludf.DUMMYFUNCTION("""COMPUTED_VALUE"""),"")</f>
        <v/>
      </c>
      <c r="T8" s="15" t="str">
        <f>IFERROR(__xludf.DUMMYFUNCTION("""COMPUTED_VALUE"""),"[Unusual Order]")</f>
        <v>[Unusual Order]</v>
      </c>
    </row>
    <row r="9">
      <c r="A9" s="13">
        <f>IFERROR(__xludf.DUMMYFUNCTION("""COMPUTED_VALUE"""),43866.0)</f>
        <v>43866</v>
      </c>
      <c r="B9" s="14">
        <f>IFERROR(__xludf.DUMMYFUNCTION("""COMPUTED_VALUE"""),0.5840277777777778)</f>
        <v>0.5840277778</v>
      </c>
      <c r="C9" s="15" t="str">
        <f>IFERROR(__xludf.DUMMYFUNCTION("""COMPUTED_VALUE"""),"MLCO")</f>
        <v>MLCO</v>
      </c>
      <c r="D9" s="17">
        <f>IFERROR(__xludf.DUMMYFUNCTION("""COMPUTED_VALUE"""),43882.0)</f>
        <v>43882</v>
      </c>
      <c r="E9" s="15">
        <f>IFERROR(__xludf.DUMMYFUNCTION("""COMPUTED_VALUE"""),22.0)</f>
        <v>22</v>
      </c>
      <c r="F9" s="15" t="str">
        <f>IFERROR(__xludf.DUMMYFUNCTION("""COMPUTED_VALUE"""),"CALLS")</f>
        <v>CALLS</v>
      </c>
      <c r="G9" s="15">
        <f>IFERROR(__xludf.DUMMYFUNCTION("""COMPUTED_VALUE"""),20.36)</f>
        <v>20.36</v>
      </c>
      <c r="H9" s="15">
        <f>IFERROR(__xludf.DUMMYFUNCTION("""COMPUTED_VALUE"""),708.0)</f>
        <v>708</v>
      </c>
      <c r="I9" s="15">
        <f>IFERROR(__xludf.DUMMYFUNCTION("""COMPUTED_VALUE"""),0.35)</f>
        <v>0.35</v>
      </c>
      <c r="J9" s="15" t="str">
        <f>IFERROR(__xludf.DUMMYFUNCTION("""COMPUTED_VALUE"""),"BLOCK")</f>
        <v>BLOCK</v>
      </c>
      <c r="K9" s="15">
        <f>IFERROR(__xludf.DUMMYFUNCTION("""COMPUTED_VALUE"""),1544.0)</f>
        <v>1544</v>
      </c>
      <c r="L9" s="15">
        <f>IFERROR(__xludf.DUMMYFUNCTION("""COMPUTED_VALUE"""),23440.0)</f>
        <v>23440</v>
      </c>
      <c r="M9" s="20">
        <f>IFERROR(__xludf.DUMMYFUNCTION("""COMPUTED_VALUE"""),24780.0)</f>
        <v>24780</v>
      </c>
      <c r="N9" s="15" t="str">
        <f>IFERROR(__xludf.DUMMYFUNCTION("""COMPUTED_VALUE"""),"")</f>
        <v/>
      </c>
      <c r="O9" s="19">
        <f>IFERROR(__xludf.DUMMYFUNCTION("""COMPUTED_VALUE"""),43.0)</f>
        <v>43</v>
      </c>
      <c r="P9" s="15" t="str">
        <f>IFERROR(__xludf.DUMMYFUNCTION("""COMPUTED_VALUE"""),"Consumer Discretionary")</f>
        <v>Consumer Discretionary</v>
      </c>
      <c r="Q9" s="15" t="b">
        <f>IFERROR(__xludf.DUMMYFUNCTION("""COMPUTED_VALUE"""),TRUE)</f>
        <v>1</v>
      </c>
      <c r="R9" s="15" t="str">
        <f>IFERROR(__xludf.DUMMYFUNCTION("""COMPUTED_VALUE"""),"bullish")</f>
        <v>bullish</v>
      </c>
      <c r="S9" s="15" t="str">
        <f>IFERROR(__xludf.DUMMYFUNCTION("""COMPUTED_VALUE"""),"")</f>
        <v/>
      </c>
      <c r="T9" s="15" t="str">
        <f>IFERROR(__xludf.DUMMYFUNCTION("""COMPUTED_VALUE"""),"[Unusual Order]")</f>
        <v>[Unusual Order]</v>
      </c>
    </row>
    <row r="10">
      <c r="A10" s="13">
        <f>IFERROR(__xludf.DUMMYFUNCTION("""COMPUTED_VALUE"""),43866.0)</f>
        <v>43866</v>
      </c>
      <c r="B10" s="14">
        <f>IFERROR(__xludf.DUMMYFUNCTION("""COMPUTED_VALUE"""),0.5777777777777777)</f>
        <v>0.5777777778</v>
      </c>
      <c r="C10" s="15" t="str">
        <f>IFERROR(__xludf.DUMMYFUNCTION("""COMPUTED_VALUE"""),"SBH")</f>
        <v>SBH</v>
      </c>
      <c r="D10" s="17">
        <f>IFERROR(__xludf.DUMMYFUNCTION("""COMPUTED_VALUE"""),43882.0)</f>
        <v>43882</v>
      </c>
      <c r="E10" s="15">
        <f>IFERROR(__xludf.DUMMYFUNCTION("""COMPUTED_VALUE"""),17.5)</f>
        <v>17.5</v>
      </c>
      <c r="F10" s="15" t="str">
        <f>IFERROR(__xludf.DUMMYFUNCTION("""COMPUTED_VALUE"""),"CALLS")</f>
        <v>CALLS</v>
      </c>
      <c r="G10" s="15">
        <f>IFERROR(__xludf.DUMMYFUNCTION("""COMPUTED_VALUE"""),16.04)</f>
        <v>16.04</v>
      </c>
      <c r="H10" s="15">
        <f>IFERROR(__xludf.DUMMYFUNCTION("""COMPUTED_VALUE"""),1543.0)</f>
        <v>1543</v>
      </c>
      <c r="I10" s="15">
        <f>IFERROR(__xludf.DUMMYFUNCTION("""COMPUTED_VALUE"""),0.55)</f>
        <v>0.55</v>
      </c>
      <c r="J10" s="15" t="str">
        <f>IFERROR(__xludf.DUMMYFUNCTION("""COMPUTED_VALUE"""),"BLOCK")</f>
        <v>BLOCK</v>
      </c>
      <c r="K10" s="15">
        <f>IFERROR(__xludf.DUMMYFUNCTION("""COMPUTED_VALUE"""),1720.0)</f>
        <v>1720</v>
      </c>
      <c r="L10" s="15">
        <f>IFERROR(__xludf.DUMMYFUNCTION("""COMPUTED_VALUE"""),226.0)</f>
        <v>226</v>
      </c>
      <c r="M10" s="20">
        <f>IFERROR(__xludf.DUMMYFUNCTION("""COMPUTED_VALUE"""),84865.0)</f>
        <v>84865</v>
      </c>
      <c r="N10" s="15" t="str">
        <f>IFERROR(__xludf.DUMMYFUNCTION("""COMPUTED_VALUE"""),"")</f>
        <v/>
      </c>
      <c r="O10" s="19">
        <f>IFERROR(__xludf.DUMMYFUNCTION("""COMPUTED_VALUE"""),78.0)</f>
        <v>78</v>
      </c>
      <c r="P10" s="15" t="str">
        <f>IFERROR(__xludf.DUMMYFUNCTION("""COMPUTED_VALUE"""),"Consumer Discretionary")</f>
        <v>Consumer Discretionary</v>
      </c>
      <c r="Q10" s="15" t="b">
        <f>IFERROR(__xludf.DUMMYFUNCTION("""COMPUTED_VALUE"""),TRUE)</f>
        <v>1</v>
      </c>
      <c r="R10" s="15" t="str">
        <f>IFERROR(__xludf.DUMMYFUNCTION("""COMPUTED_VALUE"""),"bullish")</f>
        <v>bullish</v>
      </c>
      <c r="S10" s="15" t="str">
        <f>IFERROR(__xludf.DUMMYFUNCTION("""COMPUTED_VALUE"""),"")</f>
        <v/>
      </c>
      <c r="T10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11">
      <c r="A11" s="13">
        <f>IFERROR(__xludf.DUMMYFUNCTION("""COMPUTED_VALUE"""),43866.0)</f>
        <v>43866</v>
      </c>
      <c r="B11" s="14">
        <f>IFERROR(__xludf.DUMMYFUNCTION("""COMPUTED_VALUE"""),0.5569444444444445)</f>
        <v>0.5569444444</v>
      </c>
      <c r="C11" s="15" t="str">
        <f>IFERROR(__xludf.DUMMYFUNCTION("""COMPUTED_VALUE"""),"TSLA")</f>
        <v>TSLA</v>
      </c>
      <c r="D11" s="17">
        <f>IFERROR(__xludf.DUMMYFUNCTION("""COMPUTED_VALUE"""),43868.0)</f>
        <v>43868</v>
      </c>
      <c r="E11" s="15">
        <f>IFERROR(__xludf.DUMMYFUNCTION("""COMPUTED_VALUE"""),800.0)</f>
        <v>800</v>
      </c>
      <c r="F11" s="15" t="str">
        <f>IFERROR(__xludf.DUMMYFUNCTION("""COMPUTED_VALUE"""),"CALLS")</f>
        <v>CALLS</v>
      </c>
      <c r="G11" s="15">
        <f>IFERROR(__xludf.DUMMYFUNCTION("""COMPUTED_VALUE"""),726.24)</f>
        <v>726.24</v>
      </c>
      <c r="H11" s="15">
        <f>IFERROR(__xludf.DUMMYFUNCTION("""COMPUTED_VALUE"""),206.0)</f>
        <v>206</v>
      </c>
      <c r="I11" s="15">
        <f>IFERROR(__xludf.DUMMYFUNCTION("""COMPUTED_VALUE"""),9.0)</f>
        <v>9</v>
      </c>
      <c r="J11" s="15" t="str">
        <f>IFERROR(__xludf.DUMMYFUNCTION("""COMPUTED_VALUE"""),"SWEEP")</f>
        <v>SWEEP</v>
      </c>
      <c r="K11" s="15">
        <f>IFERROR(__xludf.DUMMYFUNCTION("""COMPUTED_VALUE"""),18000.0)</f>
        <v>18000</v>
      </c>
      <c r="L11" s="15">
        <f>IFERROR(__xludf.DUMMYFUNCTION("""COMPUTED_VALUE"""),6945.0)</f>
        <v>6945</v>
      </c>
      <c r="M11" s="20">
        <f>IFERROR(__xludf.DUMMYFUNCTION("""COMPUTED_VALUE"""),185400.0)</f>
        <v>185400</v>
      </c>
      <c r="N11" s="15" t="str">
        <f>IFERROR(__xludf.DUMMYFUNCTION("""COMPUTED_VALUE"""),"")</f>
        <v/>
      </c>
      <c r="O11" s="19">
        <f>IFERROR(__xludf.DUMMYFUNCTION("""COMPUTED_VALUE"""),44.0)</f>
        <v>44</v>
      </c>
      <c r="P11" s="15" t="str">
        <f>IFERROR(__xludf.DUMMYFUNCTION("""COMPUTED_VALUE"""),"Consumer Staples/Goods")</f>
        <v>Consumer Staples/Goods</v>
      </c>
      <c r="Q11" s="15" t="b">
        <f>IFERROR(__xludf.DUMMYFUNCTION("""COMPUTED_VALUE"""),TRUE)</f>
        <v>1</v>
      </c>
      <c r="R11" s="15" t="str">
        <f>IFERROR(__xludf.DUMMYFUNCTION("""COMPUTED_VALUE"""),"bullish")</f>
        <v>bullish</v>
      </c>
      <c r="S11" s="15" t="str">
        <f>IFERROR(__xludf.DUMMYFUNCTION("""COMPUTED_VALUE"""),"")</f>
        <v/>
      </c>
      <c r="T11" s="15" t="str">
        <f>IFERROR(__xludf.DUMMYFUNCTION("""COMPUTED_VALUE"""),"[Day Vol is Greater than OI, Unusual Order]")</f>
        <v>[Day Vol is Greater than OI, Unusual Order]</v>
      </c>
    </row>
    <row r="12">
      <c r="A12" s="13">
        <f>IFERROR(__xludf.DUMMYFUNCTION("""COMPUTED_VALUE"""),43866.0)</f>
        <v>43866</v>
      </c>
      <c r="B12" s="14">
        <f>IFERROR(__xludf.DUMMYFUNCTION("""COMPUTED_VALUE"""),0.5534722222222223)</f>
        <v>0.5534722222</v>
      </c>
      <c r="C12" s="15" t="str">
        <f>IFERROR(__xludf.DUMMYFUNCTION("""COMPUTED_VALUE"""),"TSLA")</f>
        <v>TSLA</v>
      </c>
      <c r="D12" s="17">
        <f>IFERROR(__xludf.DUMMYFUNCTION("""COMPUTED_VALUE"""),43868.0)</f>
        <v>43868</v>
      </c>
      <c r="E12" s="15">
        <f>IFERROR(__xludf.DUMMYFUNCTION("""COMPUTED_VALUE"""),767.5)</f>
        <v>767.5</v>
      </c>
      <c r="F12" s="15" t="str">
        <f>IFERROR(__xludf.DUMMYFUNCTION("""COMPUTED_VALUE"""),"CALLS")</f>
        <v>CALLS</v>
      </c>
      <c r="G12" s="15">
        <f>IFERROR(__xludf.DUMMYFUNCTION("""COMPUTED_VALUE"""),711.71)</f>
        <v>711.71</v>
      </c>
      <c r="H12" s="15">
        <f>IFERROR(__xludf.DUMMYFUNCTION("""COMPUTED_VALUE"""),325.0)</f>
        <v>325</v>
      </c>
      <c r="I12" s="15">
        <f>IFERROR(__xludf.DUMMYFUNCTION("""COMPUTED_VALUE"""),11.85)</f>
        <v>11.85</v>
      </c>
      <c r="J12" s="15" t="str">
        <f>IFERROR(__xludf.DUMMYFUNCTION("""COMPUTED_VALUE"""),"SPLIT")</f>
        <v>SPLIT</v>
      </c>
      <c r="K12" s="15">
        <f>IFERROR(__xludf.DUMMYFUNCTION("""COMPUTED_VALUE"""),1227.0)</f>
        <v>1227</v>
      </c>
      <c r="L12" s="15">
        <f>IFERROR(__xludf.DUMMYFUNCTION("""COMPUTED_VALUE"""),175.0)</f>
        <v>175</v>
      </c>
      <c r="M12" s="20">
        <f>IFERROR(__xludf.DUMMYFUNCTION("""COMPUTED_VALUE"""),385125.0)</f>
        <v>385125</v>
      </c>
      <c r="N12" s="15" t="str">
        <f>IFERROR(__xludf.DUMMYFUNCTION("""COMPUTED_VALUE"""),"")</f>
        <v/>
      </c>
      <c r="O12" s="19">
        <f>IFERROR(__xludf.DUMMYFUNCTION("""COMPUTED_VALUE"""),75.0)</f>
        <v>75</v>
      </c>
      <c r="P12" s="15" t="str">
        <f>IFERROR(__xludf.DUMMYFUNCTION("""COMPUTED_VALUE"""),"Consumer Staples/Goods")</f>
        <v>Consumer Staples/Goods</v>
      </c>
      <c r="Q12" s="15" t="b">
        <f>IFERROR(__xludf.DUMMYFUNCTION("""COMPUTED_VALUE"""),TRUE)</f>
        <v>1</v>
      </c>
      <c r="R12" s="15" t="str">
        <f>IFERROR(__xludf.DUMMYFUNCTION("""COMPUTED_VALUE"""),"bullish")</f>
        <v>bullish</v>
      </c>
      <c r="S12" s="15" t="str">
        <f>IFERROR(__xludf.DUMMYFUNCTION("""COMPUTED_VALUE"""),"")</f>
        <v/>
      </c>
      <c r="T12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13">
      <c r="A13" s="13">
        <f>IFERROR(__xludf.DUMMYFUNCTION("""COMPUTED_VALUE"""),43866.0)</f>
        <v>43866</v>
      </c>
      <c r="B13" s="14">
        <f>IFERROR(__xludf.DUMMYFUNCTION("""COMPUTED_VALUE"""),0.5270833333333333)</f>
        <v>0.5270833333</v>
      </c>
      <c r="C13" s="15" t="str">
        <f>IFERROR(__xludf.DUMMYFUNCTION("""COMPUTED_VALUE"""),"GOOS")</f>
        <v>GOOS</v>
      </c>
      <c r="D13" s="17">
        <f>IFERROR(__xludf.DUMMYFUNCTION("""COMPUTED_VALUE"""),43882.0)</f>
        <v>43882</v>
      </c>
      <c r="E13" s="15">
        <f>IFERROR(__xludf.DUMMYFUNCTION("""COMPUTED_VALUE"""),38.0)</f>
        <v>38</v>
      </c>
      <c r="F13" s="15" t="str">
        <f>IFERROR(__xludf.DUMMYFUNCTION("""COMPUTED_VALUE"""),"CALLS")</f>
        <v>CALLS</v>
      </c>
      <c r="G13" s="15">
        <f>IFERROR(__xludf.DUMMYFUNCTION("""COMPUTED_VALUE"""),32.6)</f>
        <v>32.6</v>
      </c>
      <c r="H13" s="15">
        <f>IFERROR(__xludf.DUMMYFUNCTION("""COMPUTED_VALUE"""),530.0)</f>
        <v>530</v>
      </c>
      <c r="I13" s="15">
        <f>IFERROR(__xludf.DUMMYFUNCTION("""COMPUTED_VALUE"""),0.84)</f>
        <v>0.84</v>
      </c>
      <c r="J13" s="15" t="str">
        <f>IFERROR(__xludf.DUMMYFUNCTION("""COMPUTED_VALUE"""),"SPLIT")</f>
        <v>SPLIT</v>
      </c>
      <c r="K13" s="15">
        <f>IFERROR(__xludf.DUMMYFUNCTION("""COMPUTED_VALUE"""),588.0)</f>
        <v>588</v>
      </c>
      <c r="L13" s="15">
        <f>IFERROR(__xludf.DUMMYFUNCTION("""COMPUTED_VALUE"""),141.0)</f>
        <v>141</v>
      </c>
      <c r="M13" s="20">
        <f>IFERROR(__xludf.DUMMYFUNCTION("""COMPUTED_VALUE"""),44520.0)</f>
        <v>44520</v>
      </c>
      <c r="N13" s="15" t="str">
        <f>IFERROR(__xludf.DUMMYFUNCTION("""COMPUTED_VALUE"""),"")</f>
        <v/>
      </c>
      <c r="O13" s="19">
        <f>IFERROR(__xludf.DUMMYFUNCTION("""COMPUTED_VALUE"""),76.0)</f>
        <v>76</v>
      </c>
      <c r="P13" s="15" t="str">
        <f>IFERROR(__xludf.DUMMYFUNCTION("""COMPUTED_VALUE"""),"Consumer Staples/Goods")</f>
        <v>Consumer Staples/Goods</v>
      </c>
      <c r="Q13" s="15" t="b">
        <f>IFERROR(__xludf.DUMMYFUNCTION("""COMPUTED_VALUE"""),TRUE)</f>
        <v>1</v>
      </c>
      <c r="R13" s="15" t="str">
        <f>IFERROR(__xludf.DUMMYFUNCTION("""COMPUTED_VALUE"""),"bullish")</f>
        <v>bullish</v>
      </c>
      <c r="S13" s="15" t="str">
        <f>IFERROR(__xludf.DUMMYFUNCTION("""COMPUTED_VALUE"""),"")</f>
        <v/>
      </c>
      <c r="T13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14">
      <c r="A14" s="13">
        <f>IFERROR(__xludf.DUMMYFUNCTION("""COMPUTED_VALUE"""),43866.0)</f>
        <v>43866</v>
      </c>
      <c r="B14" s="14">
        <f>IFERROR(__xludf.DUMMYFUNCTION("""COMPUTED_VALUE"""),0.5055555555555555)</f>
        <v>0.5055555556</v>
      </c>
      <c r="C14" s="15" t="str">
        <f>IFERROR(__xludf.DUMMYFUNCTION("""COMPUTED_VALUE"""),"TSLA")</f>
        <v>TSLA</v>
      </c>
      <c r="D14" s="17">
        <f>IFERROR(__xludf.DUMMYFUNCTION("""COMPUTED_VALUE"""),43868.0)</f>
        <v>43868</v>
      </c>
      <c r="E14" s="15">
        <f>IFERROR(__xludf.DUMMYFUNCTION("""COMPUTED_VALUE"""),840.0)</f>
        <v>840</v>
      </c>
      <c r="F14" s="15" t="str">
        <f>IFERROR(__xludf.DUMMYFUNCTION("""COMPUTED_VALUE"""),"CALLS")</f>
        <v>CALLS</v>
      </c>
      <c r="G14" s="15">
        <f>IFERROR(__xludf.DUMMYFUNCTION("""COMPUTED_VALUE"""),765.48)</f>
        <v>765.48</v>
      </c>
      <c r="H14" s="15">
        <f>IFERROR(__xludf.DUMMYFUNCTION("""COMPUTED_VALUE"""),199.0)</f>
        <v>199</v>
      </c>
      <c r="I14" s="15">
        <f>IFERROR(__xludf.DUMMYFUNCTION("""COMPUTED_VALUE"""),8.6)</f>
        <v>8.6</v>
      </c>
      <c r="J14" s="15" t="str">
        <f>IFERROR(__xludf.DUMMYFUNCTION("""COMPUTED_VALUE"""),"SWEEP")</f>
        <v>SWEEP</v>
      </c>
      <c r="K14" s="15">
        <f>IFERROR(__xludf.DUMMYFUNCTION("""COMPUTED_VALUE"""),2771.0)</f>
        <v>2771</v>
      </c>
      <c r="L14" s="15">
        <f>IFERROR(__xludf.DUMMYFUNCTION("""COMPUTED_VALUE"""),699.0)</f>
        <v>699</v>
      </c>
      <c r="M14" s="20">
        <f>IFERROR(__xludf.DUMMYFUNCTION("""COMPUTED_VALUE"""),171140.0)</f>
        <v>171140</v>
      </c>
      <c r="N14" s="15" t="str">
        <f>IFERROR(__xludf.DUMMYFUNCTION("""COMPUTED_VALUE"""),"")</f>
        <v/>
      </c>
      <c r="O14" s="19">
        <f>IFERROR(__xludf.DUMMYFUNCTION("""COMPUTED_VALUE"""),51.0)</f>
        <v>51</v>
      </c>
      <c r="P14" s="15" t="str">
        <f>IFERROR(__xludf.DUMMYFUNCTION("""COMPUTED_VALUE"""),"Consumer Staples/Goods")</f>
        <v>Consumer Staples/Goods</v>
      </c>
      <c r="Q14" s="15" t="b">
        <f>IFERROR(__xludf.DUMMYFUNCTION("""COMPUTED_VALUE"""),TRUE)</f>
        <v>1</v>
      </c>
      <c r="R14" s="15" t="str">
        <f>IFERROR(__xludf.DUMMYFUNCTION("""COMPUTED_VALUE"""),"bullish")</f>
        <v>bullish</v>
      </c>
      <c r="S14" s="15" t="str">
        <f>IFERROR(__xludf.DUMMYFUNCTION("""COMPUTED_VALUE"""),"")</f>
        <v/>
      </c>
      <c r="T14" s="15" t="str">
        <f>IFERROR(__xludf.DUMMYFUNCTION("""COMPUTED_VALUE"""),"[Day Vol is Greater than OI, Unusual Order]")</f>
        <v>[Day Vol is Greater than OI, Unusual Order]</v>
      </c>
    </row>
    <row r="15">
      <c r="A15" s="13">
        <f>IFERROR(__xludf.DUMMYFUNCTION("""COMPUTED_VALUE"""),43866.0)</f>
        <v>43866</v>
      </c>
      <c r="B15" s="14">
        <f>IFERROR(__xludf.DUMMYFUNCTION("""COMPUTED_VALUE"""),0.49236111111111114)</f>
        <v>0.4923611111</v>
      </c>
      <c r="C15" s="15" t="str">
        <f>IFERROR(__xludf.DUMMYFUNCTION("""COMPUTED_VALUE"""),"SPCE")</f>
        <v>SPCE</v>
      </c>
      <c r="D15" s="17">
        <f>IFERROR(__xludf.DUMMYFUNCTION("""COMPUTED_VALUE"""),43882.0)</f>
        <v>43882</v>
      </c>
      <c r="E15" s="15">
        <f>IFERROR(__xludf.DUMMYFUNCTION("""COMPUTED_VALUE"""),24.0)</f>
        <v>24</v>
      </c>
      <c r="F15" s="15" t="str">
        <f>IFERROR(__xludf.DUMMYFUNCTION("""COMPUTED_VALUE"""),"CALLS")</f>
        <v>CALLS</v>
      </c>
      <c r="G15" s="15">
        <f>IFERROR(__xludf.DUMMYFUNCTION("""COMPUTED_VALUE"""),18.91)</f>
        <v>18.91</v>
      </c>
      <c r="H15" s="15">
        <f>IFERROR(__xludf.DUMMYFUNCTION("""COMPUTED_VALUE"""),500.0)</f>
        <v>500</v>
      </c>
      <c r="I15" s="15">
        <f>IFERROR(__xludf.DUMMYFUNCTION("""COMPUTED_VALUE"""),0.35)</f>
        <v>0.35</v>
      </c>
      <c r="J15" s="15" t="str">
        <f>IFERROR(__xludf.DUMMYFUNCTION("""COMPUTED_VALUE"""),"SWEEP")</f>
        <v>SWEEP</v>
      </c>
      <c r="K15" s="15">
        <f>IFERROR(__xludf.DUMMYFUNCTION("""COMPUTED_VALUE"""),765.0)</f>
        <v>765</v>
      </c>
      <c r="L15" s="15">
        <f>IFERROR(__xludf.DUMMYFUNCTION("""COMPUTED_VALUE"""),2255.0)</f>
        <v>2255</v>
      </c>
      <c r="M15" s="20">
        <f>IFERROR(__xludf.DUMMYFUNCTION("""COMPUTED_VALUE"""),17500.0)</f>
        <v>17500</v>
      </c>
      <c r="N15" s="15" t="str">
        <f>IFERROR(__xludf.DUMMYFUNCTION("""COMPUTED_VALUE"""),"")</f>
        <v/>
      </c>
      <c r="O15" s="19">
        <f>IFERROR(__xludf.DUMMYFUNCTION("""COMPUTED_VALUE"""),51.0)</f>
        <v>51</v>
      </c>
      <c r="P15" s="15" t="str">
        <f>IFERROR(__xludf.DUMMYFUNCTION("""COMPUTED_VALUE"""),"Industrials")</f>
        <v>Industrials</v>
      </c>
      <c r="Q15" s="15" t="b">
        <f>IFERROR(__xludf.DUMMYFUNCTION("""COMPUTED_VALUE"""),TRUE)</f>
        <v>1</v>
      </c>
      <c r="R15" s="15" t="str">
        <f>IFERROR(__xludf.DUMMYFUNCTION("""COMPUTED_VALUE"""),"bullish")</f>
        <v>bullish</v>
      </c>
      <c r="S15" s="15" t="str">
        <f>IFERROR(__xludf.DUMMYFUNCTION("""COMPUTED_VALUE"""),"")</f>
        <v/>
      </c>
      <c r="T15" s="15" t="str">
        <f>IFERROR(__xludf.DUMMYFUNCTION("""COMPUTED_VALUE"""),"[Unusual Order]")</f>
        <v>[Unusual Order]</v>
      </c>
    </row>
    <row r="16">
      <c r="A16" s="13">
        <f>IFERROR(__xludf.DUMMYFUNCTION("""COMPUTED_VALUE"""),43866.0)</f>
        <v>43866</v>
      </c>
      <c r="B16" s="14">
        <f>IFERROR(__xludf.DUMMYFUNCTION("""COMPUTED_VALUE"""),0.4666666666666667)</f>
        <v>0.4666666667</v>
      </c>
      <c r="C16" s="15" t="str">
        <f>IFERROR(__xludf.DUMMYFUNCTION("""COMPUTED_VALUE"""),"ZNGA")</f>
        <v>ZNGA</v>
      </c>
      <c r="D16" s="17">
        <f>IFERROR(__xludf.DUMMYFUNCTION("""COMPUTED_VALUE"""),43875.0)</f>
        <v>43875</v>
      </c>
      <c r="E16" s="15">
        <f>IFERROR(__xludf.DUMMYFUNCTION("""COMPUTED_VALUE"""),6.5)</f>
        <v>6.5</v>
      </c>
      <c r="F16" s="15" t="str">
        <f>IFERROR(__xludf.DUMMYFUNCTION("""COMPUTED_VALUE"""),"CALLS")</f>
        <v>CALLS</v>
      </c>
      <c r="G16" s="15">
        <f>IFERROR(__xludf.DUMMYFUNCTION("""COMPUTED_VALUE"""),6.04)</f>
        <v>6.04</v>
      </c>
      <c r="H16" s="15">
        <f>IFERROR(__xludf.DUMMYFUNCTION("""COMPUTED_VALUE"""),747.0)</f>
        <v>747</v>
      </c>
      <c r="I16" s="15">
        <f>IFERROR(__xludf.DUMMYFUNCTION("""COMPUTED_VALUE"""),0.22)</f>
        <v>0.22</v>
      </c>
      <c r="J16" s="15" t="str">
        <f>IFERROR(__xludf.DUMMYFUNCTION("""COMPUTED_VALUE"""),"SWEEP")</f>
        <v>SWEEP</v>
      </c>
      <c r="K16" s="15">
        <f>IFERROR(__xludf.DUMMYFUNCTION("""COMPUTED_VALUE"""),30488.0)</f>
        <v>30488</v>
      </c>
      <c r="L16" s="15">
        <f>IFERROR(__xludf.DUMMYFUNCTION("""COMPUTED_VALUE"""),973.0)</f>
        <v>973</v>
      </c>
      <c r="M16" s="20">
        <f>IFERROR(__xludf.DUMMYFUNCTION("""COMPUTED_VALUE"""),16434.0)</f>
        <v>16434</v>
      </c>
      <c r="N16" s="15" t="str">
        <f>IFERROR(__xludf.DUMMYFUNCTION("""COMPUTED_VALUE"""),"")</f>
        <v/>
      </c>
      <c r="O16" s="19">
        <f>IFERROR(__xludf.DUMMYFUNCTION("""COMPUTED_VALUE"""),55.0)</f>
        <v>55</v>
      </c>
      <c r="P16" s="15" t="str">
        <f>IFERROR(__xludf.DUMMYFUNCTION("""COMPUTED_VALUE"""),"Technology")</f>
        <v>Technology</v>
      </c>
      <c r="Q16" s="15" t="b">
        <f>IFERROR(__xludf.DUMMYFUNCTION("""COMPUTED_VALUE"""),TRUE)</f>
        <v>1</v>
      </c>
      <c r="R16" s="15" t="str">
        <f>IFERROR(__xludf.DUMMYFUNCTION("""COMPUTED_VALUE"""),"bullish")</f>
        <v>bullish</v>
      </c>
      <c r="S16" s="15" t="str">
        <f>IFERROR(__xludf.DUMMYFUNCTION("""COMPUTED_VALUE"""),"")</f>
        <v/>
      </c>
      <c r="T16" s="15" t="str">
        <f>IFERROR(__xludf.DUMMYFUNCTION("""COMPUTED_VALUE"""),"[Day Vol is Greater than OI, Unusual Order]")</f>
        <v>[Day Vol is Greater than OI, Unusual Order]</v>
      </c>
    </row>
    <row r="17">
      <c r="A17" s="13">
        <f>IFERROR(__xludf.DUMMYFUNCTION("""COMPUTED_VALUE"""),43866.0)</f>
        <v>43866</v>
      </c>
      <c r="B17" s="14">
        <f>IFERROR(__xludf.DUMMYFUNCTION("""COMPUTED_VALUE"""),0.4638888888888889)</f>
        <v>0.4638888889</v>
      </c>
      <c r="C17" s="15" t="str">
        <f>IFERROR(__xludf.DUMMYFUNCTION("""COMPUTED_VALUE"""),"TSLA")</f>
        <v>TSLA</v>
      </c>
      <c r="D17" s="17">
        <f>IFERROR(__xludf.DUMMYFUNCTION("""COMPUTED_VALUE"""),43875.0)</f>
        <v>43875</v>
      </c>
      <c r="E17" s="15">
        <f>IFERROR(__xludf.DUMMYFUNCTION("""COMPUTED_VALUE"""),1000.0)</f>
        <v>1000</v>
      </c>
      <c r="F17" s="15" t="str">
        <f>IFERROR(__xludf.DUMMYFUNCTION("""COMPUTED_VALUE"""),"CALLS")</f>
        <v>CALLS</v>
      </c>
      <c r="G17" s="15">
        <f>IFERROR(__xludf.DUMMYFUNCTION("""COMPUTED_VALUE"""),769.0)</f>
        <v>769</v>
      </c>
      <c r="H17" s="15">
        <f>IFERROR(__xludf.DUMMYFUNCTION("""COMPUTED_VALUE"""),138.0)</f>
        <v>138</v>
      </c>
      <c r="I17" s="15">
        <f>IFERROR(__xludf.DUMMYFUNCTION("""COMPUTED_VALUE"""),15.0)</f>
        <v>15</v>
      </c>
      <c r="J17" s="15" t="str">
        <f>IFERROR(__xludf.DUMMYFUNCTION("""COMPUTED_VALUE"""),"SWEEP")</f>
        <v>SWEEP</v>
      </c>
      <c r="K17" s="15">
        <f>IFERROR(__xludf.DUMMYFUNCTION("""COMPUTED_VALUE"""),2692.0)</f>
        <v>2692</v>
      </c>
      <c r="L17" s="15">
        <f>IFERROR(__xludf.DUMMYFUNCTION("""COMPUTED_VALUE"""),1381.0)</f>
        <v>1381</v>
      </c>
      <c r="M17" s="20">
        <f>IFERROR(__xludf.DUMMYFUNCTION("""COMPUTED_VALUE"""),207000.0)</f>
        <v>207000</v>
      </c>
      <c r="N17" s="15" t="str">
        <f>IFERROR(__xludf.DUMMYFUNCTION("""COMPUTED_VALUE"""),"")</f>
        <v/>
      </c>
      <c r="O17" s="19">
        <f>IFERROR(__xludf.DUMMYFUNCTION("""COMPUTED_VALUE"""),46.0)</f>
        <v>46</v>
      </c>
      <c r="P17" s="15" t="str">
        <f>IFERROR(__xludf.DUMMYFUNCTION("""COMPUTED_VALUE"""),"Consumer Staples/Goods")</f>
        <v>Consumer Staples/Goods</v>
      </c>
      <c r="Q17" s="15" t="b">
        <f>IFERROR(__xludf.DUMMYFUNCTION("""COMPUTED_VALUE"""),TRUE)</f>
        <v>1</v>
      </c>
      <c r="R17" s="15" t="str">
        <f>IFERROR(__xludf.DUMMYFUNCTION("""COMPUTED_VALUE"""),"bullish")</f>
        <v>bullish</v>
      </c>
      <c r="S17" s="15" t="str">
        <f>IFERROR(__xludf.DUMMYFUNCTION("""COMPUTED_VALUE"""),"")</f>
        <v/>
      </c>
      <c r="T17" s="15" t="str">
        <f>IFERROR(__xludf.DUMMYFUNCTION("""COMPUTED_VALUE"""),"[Day Vol is Greater than OI, Unusual Order]")</f>
        <v>[Day Vol is Greater than OI, Unusual Order]</v>
      </c>
    </row>
    <row r="18">
      <c r="A18" s="13">
        <f>IFERROR(__xludf.DUMMYFUNCTION("""COMPUTED_VALUE"""),43866.0)</f>
        <v>43866</v>
      </c>
      <c r="B18" s="14">
        <f>IFERROR(__xludf.DUMMYFUNCTION("""COMPUTED_VALUE"""),0.41805555555555557)</f>
        <v>0.4180555556</v>
      </c>
      <c r="C18" s="15" t="str">
        <f>IFERROR(__xludf.DUMMYFUNCTION("""COMPUTED_VALUE"""),"PINS")</f>
        <v>PINS</v>
      </c>
      <c r="D18" s="17">
        <f>IFERROR(__xludf.DUMMYFUNCTION("""COMPUTED_VALUE"""),43868.0)</f>
        <v>43868</v>
      </c>
      <c r="E18" s="15">
        <f>IFERROR(__xludf.DUMMYFUNCTION("""COMPUTED_VALUE"""),26.0)</f>
        <v>26</v>
      </c>
      <c r="F18" s="15" t="str">
        <f>IFERROR(__xludf.DUMMYFUNCTION("""COMPUTED_VALUE"""),"CALLS")</f>
        <v>CALLS</v>
      </c>
      <c r="G18" s="15">
        <f>IFERROR(__xludf.DUMMYFUNCTION("""COMPUTED_VALUE"""),21.97)</f>
        <v>21.97</v>
      </c>
      <c r="H18" s="15">
        <f>IFERROR(__xludf.DUMMYFUNCTION("""COMPUTED_VALUE"""),801.0)</f>
        <v>801</v>
      </c>
      <c r="I18" s="15">
        <f>IFERROR(__xludf.DUMMYFUNCTION("""COMPUTED_VALUE"""),0.3)</f>
        <v>0.3</v>
      </c>
      <c r="J18" s="15" t="str">
        <f>IFERROR(__xludf.DUMMYFUNCTION("""COMPUTED_VALUE"""),"SWEEP")</f>
        <v>SWEEP</v>
      </c>
      <c r="K18" s="15">
        <f>IFERROR(__xludf.DUMMYFUNCTION("""COMPUTED_VALUE"""),959.0)</f>
        <v>959</v>
      </c>
      <c r="L18" s="15">
        <f>IFERROR(__xludf.DUMMYFUNCTION("""COMPUTED_VALUE"""),431.0)</f>
        <v>431</v>
      </c>
      <c r="M18" s="15">
        <f>IFERROR(__xludf.DUMMYFUNCTION("""COMPUTED_VALUE"""),24030.0)</f>
        <v>24030</v>
      </c>
      <c r="N18" s="15" t="str">
        <f>IFERROR(__xludf.DUMMYFUNCTION("""COMPUTED_VALUE"""),"")</f>
        <v/>
      </c>
      <c r="O18" s="19">
        <f>IFERROR(__xludf.DUMMYFUNCTION("""COMPUTED_VALUE"""),79.0)</f>
        <v>79</v>
      </c>
      <c r="P18" s="15" t="str">
        <f>IFERROR(__xludf.DUMMYFUNCTION("""COMPUTED_VALUE"""),"Technology")</f>
        <v>Technology</v>
      </c>
      <c r="Q18" s="15" t="b">
        <f>IFERROR(__xludf.DUMMYFUNCTION("""COMPUTED_VALUE"""),TRUE)</f>
        <v>1</v>
      </c>
      <c r="R18" s="15" t="str">
        <f>IFERROR(__xludf.DUMMYFUNCTION("""COMPUTED_VALUE"""),"bullish")</f>
        <v>bullish</v>
      </c>
      <c r="S18" s="15" t="str">
        <f>IFERROR(__xludf.DUMMYFUNCTION("""COMPUTED_VALUE"""),"")</f>
        <v/>
      </c>
      <c r="T18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19">
      <c r="A19" s="13">
        <f>IFERROR(__xludf.DUMMYFUNCTION("""COMPUTED_VALUE"""),43866.0)</f>
        <v>43866</v>
      </c>
      <c r="B19" s="14">
        <f>IFERROR(__xludf.DUMMYFUNCTION("""COMPUTED_VALUE"""),0.4152777777777778)</f>
        <v>0.4152777778</v>
      </c>
      <c r="C19" s="15" t="str">
        <f>IFERROR(__xludf.DUMMYFUNCTION("""COMPUTED_VALUE"""),"TSLA")</f>
        <v>TSLA</v>
      </c>
      <c r="D19" s="17">
        <f>IFERROR(__xludf.DUMMYFUNCTION("""COMPUTED_VALUE"""),43889.0)</f>
        <v>43889</v>
      </c>
      <c r="E19" s="15">
        <f>IFERROR(__xludf.DUMMYFUNCTION("""COMPUTED_VALUE"""),1100.0)</f>
        <v>1100</v>
      </c>
      <c r="F19" s="15" t="str">
        <f>IFERROR(__xludf.DUMMYFUNCTION("""COMPUTED_VALUE"""),"CALLS")</f>
        <v>CALLS</v>
      </c>
      <c r="G19" s="15">
        <f>IFERROR(__xludf.DUMMYFUNCTION("""COMPUTED_VALUE"""),797.53)</f>
        <v>797.53</v>
      </c>
      <c r="H19" s="15">
        <f>IFERROR(__xludf.DUMMYFUNCTION("""COMPUTED_VALUE"""),342.0)</f>
        <v>342</v>
      </c>
      <c r="I19" s="15">
        <f>IFERROR(__xludf.DUMMYFUNCTION("""COMPUTED_VALUE"""),28.53)</f>
        <v>28.53</v>
      </c>
      <c r="J19" s="15" t="str">
        <f>IFERROR(__xludf.DUMMYFUNCTION("""COMPUTED_VALUE"""),"SWEEP")</f>
        <v>SWEEP</v>
      </c>
      <c r="K19" s="15">
        <f>IFERROR(__xludf.DUMMYFUNCTION("""COMPUTED_VALUE"""),386.0)</f>
        <v>386</v>
      </c>
      <c r="L19" s="15">
        <f>IFERROR(__xludf.DUMMYFUNCTION("""COMPUTED_VALUE"""),198.0)</f>
        <v>198</v>
      </c>
      <c r="M19" s="15">
        <f>IFERROR(__xludf.DUMMYFUNCTION("""COMPUTED_VALUE"""),975595.0)</f>
        <v>975595</v>
      </c>
      <c r="N19" s="15" t="str">
        <f>IFERROR(__xludf.DUMMYFUNCTION("""COMPUTED_VALUE"""),"")</f>
        <v/>
      </c>
      <c r="O19" s="19">
        <f>IFERROR(__xludf.DUMMYFUNCTION("""COMPUTED_VALUE"""),80.0)</f>
        <v>80</v>
      </c>
      <c r="P19" s="15" t="str">
        <f>IFERROR(__xludf.DUMMYFUNCTION("""COMPUTED_VALUE"""),"Consumer Staples/Goods")</f>
        <v>Consumer Staples/Goods</v>
      </c>
      <c r="Q19" s="15" t="b">
        <f>IFERROR(__xludf.DUMMYFUNCTION("""COMPUTED_VALUE"""),TRUE)</f>
        <v>1</v>
      </c>
      <c r="R19" s="15" t="str">
        <f>IFERROR(__xludf.DUMMYFUNCTION("""COMPUTED_VALUE"""),"bullish")</f>
        <v>bullish</v>
      </c>
      <c r="S19" s="15" t="str">
        <f>IFERROR(__xludf.DUMMYFUNCTION("""COMPUTED_VALUE"""),"")</f>
        <v/>
      </c>
      <c r="T19" s="15" t="str">
        <f>IFERROR(__xludf.DUMMYFUNCTION("""COMPUTED_VALUE"""),"[Day Vol is Greater than OI, Largest Position of Open Interest, Unusual Order]")</f>
        <v>[Day Vol is Greater than OI, Largest Position of Open Interest, Unusual Order]</v>
      </c>
    </row>
    <row r="20">
      <c r="A20" s="13">
        <f>IFERROR(__xludf.DUMMYFUNCTION("""COMPUTED_VALUE"""),43866.0)</f>
        <v>43866</v>
      </c>
      <c r="B20" s="14">
        <f>IFERROR(__xludf.DUMMYFUNCTION("""COMPUTED_VALUE"""),0.41180555555555554)</f>
        <v>0.4118055556</v>
      </c>
      <c r="C20" s="15" t="str">
        <f>IFERROR(__xludf.DUMMYFUNCTION("""COMPUTED_VALUE"""),"TSLA")</f>
        <v>TSLA</v>
      </c>
      <c r="D20" s="17">
        <f>IFERROR(__xludf.DUMMYFUNCTION("""COMPUTED_VALUE"""),43875.0)</f>
        <v>43875</v>
      </c>
      <c r="E20" s="15">
        <f>IFERROR(__xludf.DUMMYFUNCTION("""COMPUTED_VALUE"""),920.0)</f>
        <v>920</v>
      </c>
      <c r="F20" s="15" t="str">
        <f>IFERROR(__xludf.DUMMYFUNCTION("""COMPUTED_VALUE"""),"CALLS")</f>
        <v>CALLS</v>
      </c>
      <c r="G20" s="15">
        <f>IFERROR(__xludf.DUMMYFUNCTION("""COMPUTED_VALUE"""),801.5)</f>
        <v>801.5</v>
      </c>
      <c r="H20" s="15">
        <f>IFERROR(__xludf.DUMMYFUNCTION("""COMPUTED_VALUE"""),334.0)</f>
        <v>334</v>
      </c>
      <c r="I20" s="15">
        <f>IFERROR(__xludf.DUMMYFUNCTION("""COMPUTED_VALUE"""),30.8)</f>
        <v>30.8</v>
      </c>
      <c r="J20" s="15" t="str">
        <f>IFERROR(__xludf.DUMMYFUNCTION("""COMPUTED_VALUE"""),"SPLIT")</f>
        <v>SPLIT</v>
      </c>
      <c r="K20" s="15">
        <f>IFERROR(__xludf.DUMMYFUNCTION("""COMPUTED_VALUE"""),575.0)</f>
        <v>575</v>
      </c>
      <c r="L20" s="15">
        <f>IFERROR(__xludf.DUMMYFUNCTION("""COMPUTED_VALUE"""),363.0)</f>
        <v>363</v>
      </c>
      <c r="M20" s="15">
        <f>IFERROR(__xludf.DUMMYFUNCTION("""COMPUTED_VALUE"""),1028720.0)</f>
        <v>1028720</v>
      </c>
      <c r="N20" s="15" t="str">
        <f>IFERROR(__xludf.DUMMYFUNCTION("""COMPUTED_VALUE"""),"")</f>
        <v/>
      </c>
      <c r="O20" s="19">
        <f>IFERROR(__xludf.DUMMYFUNCTION("""COMPUTED_VALUE"""),77.0)</f>
        <v>77</v>
      </c>
      <c r="P20" s="15" t="str">
        <f>IFERROR(__xludf.DUMMYFUNCTION("""COMPUTED_VALUE"""),"Consumer Staples/Goods")</f>
        <v>Consumer Staples/Goods</v>
      </c>
      <c r="Q20" s="15" t="b">
        <f>IFERROR(__xludf.DUMMYFUNCTION("""COMPUTED_VALUE"""),TRUE)</f>
        <v>1</v>
      </c>
      <c r="R20" s="15" t="str">
        <f>IFERROR(__xludf.DUMMYFUNCTION("""COMPUTED_VALUE"""),"bullish")</f>
        <v>bullish</v>
      </c>
      <c r="S20" s="15" t="str">
        <f>IFERROR(__xludf.DUMMYFUNCTION("""COMPUTED_VALUE"""),"")</f>
        <v/>
      </c>
      <c r="T20" s="15" t="str">
        <f>IFERROR(__xludf.DUMMYFUNCTION("""COMPUTED_VALUE"""),"[Day Vol is Greater than OI, Unusual Order]")</f>
        <v>[Day Vol is Greater than OI, Unusual Order]</v>
      </c>
    </row>
    <row r="21">
      <c r="A21" s="13">
        <f>IFERROR(__xludf.DUMMYFUNCTION("""COMPUTED_VALUE"""),43866.0)</f>
        <v>43866</v>
      </c>
      <c r="B21" s="14">
        <f>IFERROR(__xludf.DUMMYFUNCTION("""COMPUTED_VALUE"""),0.4048611111111111)</f>
        <v>0.4048611111</v>
      </c>
      <c r="C21" s="15" t="str">
        <f>IFERROR(__xludf.DUMMYFUNCTION("""COMPUTED_VALUE"""),"REGN")</f>
        <v>REGN</v>
      </c>
      <c r="D21" s="17">
        <f>IFERROR(__xludf.DUMMYFUNCTION("""COMPUTED_VALUE"""),43868.0)</f>
        <v>43868</v>
      </c>
      <c r="E21" s="15">
        <f>IFERROR(__xludf.DUMMYFUNCTION("""COMPUTED_VALUE"""),400.0)</f>
        <v>400</v>
      </c>
      <c r="F21" s="15" t="str">
        <f>IFERROR(__xludf.DUMMYFUNCTION("""COMPUTED_VALUE"""),"CALLS")</f>
        <v>CALLS</v>
      </c>
      <c r="G21" s="15">
        <f>IFERROR(__xludf.DUMMYFUNCTION("""COMPUTED_VALUE"""),370.17)</f>
        <v>370.17</v>
      </c>
      <c r="H21" s="15">
        <f>IFERROR(__xludf.DUMMYFUNCTION("""COMPUTED_VALUE"""),145.0)</f>
        <v>145</v>
      </c>
      <c r="I21" s="15">
        <f>IFERROR(__xludf.DUMMYFUNCTION("""COMPUTED_VALUE"""),2.0)</f>
        <v>2</v>
      </c>
      <c r="J21" s="15" t="str">
        <f>IFERROR(__xludf.DUMMYFUNCTION("""COMPUTED_VALUE"""),"SWEEP")</f>
        <v>SWEEP</v>
      </c>
      <c r="K21" s="15">
        <f>IFERROR(__xludf.DUMMYFUNCTION("""COMPUTED_VALUE"""),1111.0)</f>
        <v>1111</v>
      </c>
      <c r="L21" s="15">
        <f>IFERROR(__xludf.DUMMYFUNCTION("""COMPUTED_VALUE"""),871.0)</f>
        <v>871</v>
      </c>
      <c r="M21" s="15">
        <f>IFERROR(__xludf.DUMMYFUNCTION("""COMPUTED_VALUE"""),29000.0)</f>
        <v>29000</v>
      </c>
      <c r="N21" s="15" t="str">
        <f>IFERROR(__xludf.DUMMYFUNCTION("""COMPUTED_VALUE"""),"")</f>
        <v/>
      </c>
      <c r="O21" s="19">
        <f>IFERROR(__xludf.DUMMYFUNCTION("""COMPUTED_VALUE"""),44.0)</f>
        <v>44</v>
      </c>
      <c r="P21" s="15" t="str">
        <f>IFERROR(__xludf.DUMMYFUNCTION("""COMPUTED_VALUE"""),"Healthcare")</f>
        <v>Healthcare</v>
      </c>
      <c r="Q21" s="15" t="b">
        <f>IFERROR(__xludf.DUMMYFUNCTION("""COMPUTED_VALUE"""),TRUE)</f>
        <v>1</v>
      </c>
      <c r="R21" s="15" t="str">
        <f>IFERROR(__xludf.DUMMYFUNCTION("""COMPUTED_VALUE"""),"bullish")</f>
        <v>bullish</v>
      </c>
      <c r="S21" s="15" t="str">
        <f>IFERROR(__xludf.DUMMYFUNCTION("""COMPUTED_VALUE"""),"")</f>
        <v/>
      </c>
      <c r="T21" s="15" t="str">
        <f>IFERROR(__xludf.DUMMYFUNCTION("""COMPUTED_VALUE"""),"[Day Vol is Greater than OI, Unusual Order]")</f>
        <v>[Day Vol is Greater than OI, Unusual Order]</v>
      </c>
    </row>
    <row r="22">
      <c r="A22" s="13">
        <f>IFERROR(__xludf.DUMMYFUNCTION("""COMPUTED_VALUE"""),43866.0)</f>
        <v>43866</v>
      </c>
      <c r="B22" s="14">
        <f>IFERROR(__xludf.DUMMYFUNCTION("""COMPUTED_VALUE"""),0.4041666666666667)</f>
        <v>0.4041666667</v>
      </c>
      <c r="C22" s="15" t="str">
        <f>IFERROR(__xludf.DUMMYFUNCTION("""COMPUTED_VALUE"""),"REGN")</f>
        <v>REGN</v>
      </c>
      <c r="D22" s="17">
        <f>IFERROR(__xludf.DUMMYFUNCTION("""COMPUTED_VALUE"""),43868.0)</f>
        <v>43868</v>
      </c>
      <c r="E22" s="15">
        <f>IFERROR(__xludf.DUMMYFUNCTION("""COMPUTED_VALUE"""),400.0)</f>
        <v>400</v>
      </c>
      <c r="F22" s="15" t="str">
        <f>IFERROR(__xludf.DUMMYFUNCTION("""COMPUTED_VALUE"""),"CALLS")</f>
        <v>CALLS</v>
      </c>
      <c r="G22" s="15">
        <f>IFERROR(__xludf.DUMMYFUNCTION("""COMPUTED_VALUE"""),368.98)</f>
        <v>368.98</v>
      </c>
      <c r="H22" s="15">
        <f>IFERROR(__xludf.DUMMYFUNCTION("""COMPUTED_VALUE"""),284.0)</f>
        <v>284</v>
      </c>
      <c r="I22" s="15">
        <f>IFERROR(__xludf.DUMMYFUNCTION("""COMPUTED_VALUE"""),1.86)</f>
        <v>1.86</v>
      </c>
      <c r="J22" s="15" t="str">
        <f>IFERROR(__xludf.DUMMYFUNCTION("""COMPUTED_VALUE"""),"SWEEP")</f>
        <v>SWEEP</v>
      </c>
      <c r="K22" s="15">
        <f>IFERROR(__xludf.DUMMYFUNCTION("""COMPUTED_VALUE"""),613.0)</f>
        <v>613</v>
      </c>
      <c r="L22" s="15">
        <f>IFERROR(__xludf.DUMMYFUNCTION("""COMPUTED_VALUE"""),871.0)</f>
        <v>871</v>
      </c>
      <c r="M22" s="15">
        <f>IFERROR(__xludf.DUMMYFUNCTION("""COMPUTED_VALUE"""),52767.0)</f>
        <v>52767</v>
      </c>
      <c r="N22" s="15" t="str">
        <f>IFERROR(__xludf.DUMMYFUNCTION("""COMPUTED_VALUE"""),"")</f>
        <v/>
      </c>
      <c r="O22" s="19">
        <f>IFERROR(__xludf.DUMMYFUNCTION("""COMPUTED_VALUE"""),57.0)</f>
        <v>57</v>
      </c>
      <c r="P22" s="15" t="str">
        <f>IFERROR(__xludf.DUMMYFUNCTION("""COMPUTED_VALUE"""),"Healthcare")</f>
        <v>Healthcare</v>
      </c>
      <c r="Q22" s="15" t="b">
        <f>IFERROR(__xludf.DUMMYFUNCTION("""COMPUTED_VALUE"""),TRUE)</f>
        <v>1</v>
      </c>
      <c r="R22" s="15" t="str">
        <f>IFERROR(__xludf.DUMMYFUNCTION("""COMPUTED_VALUE"""),"bullish")</f>
        <v>bullish</v>
      </c>
      <c r="S22" s="15" t="str">
        <f>IFERROR(__xludf.DUMMYFUNCTION("""COMPUTED_VALUE"""),"")</f>
        <v/>
      </c>
      <c r="T22" s="15" t="str">
        <f>IFERROR(__xludf.DUMMYFUNCTION("""COMPUTED_VALUE"""),"[Unusual Order]")</f>
        <v>[Unusual Order]</v>
      </c>
    </row>
    <row r="23">
      <c r="O23" s="19"/>
    </row>
    <row r="24">
      <c r="O24" s="19"/>
    </row>
    <row r="25">
      <c r="O25" s="19"/>
    </row>
    <row r="26">
      <c r="O26" s="19"/>
    </row>
    <row r="27">
      <c r="O27" s="19"/>
    </row>
    <row r="28">
      <c r="O28" s="19"/>
    </row>
    <row r="29">
      <c r="O29" s="19"/>
    </row>
    <row r="30">
      <c r="O30" s="19"/>
    </row>
    <row r="31">
      <c r="O31" s="19"/>
    </row>
    <row r="32">
      <c r="O32" s="19"/>
    </row>
    <row r="33">
      <c r="O33" s="19"/>
    </row>
    <row r="34">
      <c r="O34" s="19"/>
    </row>
    <row r="35">
      <c r="O35" s="19"/>
    </row>
    <row r="36">
      <c r="O36" s="19"/>
    </row>
    <row r="37">
      <c r="O37" s="19"/>
    </row>
    <row r="38">
      <c r="O38" s="19"/>
    </row>
    <row r="39">
      <c r="O39" s="19"/>
    </row>
    <row r="40">
      <c r="O40" s="19"/>
    </row>
    <row r="41">
      <c r="O41" s="19"/>
    </row>
    <row r="42">
      <c r="O42" s="19"/>
    </row>
    <row r="43">
      <c r="O43" s="19"/>
    </row>
    <row r="44">
      <c r="O44" s="19"/>
    </row>
    <row r="45">
      <c r="O45" s="19"/>
    </row>
    <row r="46">
      <c r="O46" s="19"/>
    </row>
    <row r="47">
      <c r="O47" s="19"/>
    </row>
    <row r="48">
      <c r="O48" s="19"/>
    </row>
    <row r="49">
      <c r="O49" s="19"/>
    </row>
    <row r="50">
      <c r="O50" s="19"/>
    </row>
    <row r="51">
      <c r="O51" s="19"/>
    </row>
    <row r="52">
      <c r="O52" s="19"/>
    </row>
    <row r="53">
      <c r="O53" s="19"/>
    </row>
    <row r="54">
      <c r="O54" s="19"/>
    </row>
    <row r="55">
      <c r="O55" s="19"/>
    </row>
    <row r="56">
      <c r="O56" s="19"/>
    </row>
    <row r="57">
      <c r="O57" s="19"/>
    </row>
    <row r="58">
      <c r="O58" s="19"/>
    </row>
    <row r="59">
      <c r="O59" s="19"/>
    </row>
    <row r="60">
      <c r="O60" s="19"/>
    </row>
    <row r="61">
      <c r="O61" s="19"/>
    </row>
    <row r="62">
      <c r="O62" s="19"/>
    </row>
    <row r="63">
      <c r="O63" s="19"/>
    </row>
    <row r="64">
      <c r="O64" s="19"/>
    </row>
    <row r="65">
      <c r="O65" s="19"/>
    </row>
    <row r="66">
      <c r="O66" s="19"/>
    </row>
    <row r="67">
      <c r="O67" s="19"/>
    </row>
    <row r="68">
      <c r="O68" s="19"/>
    </row>
    <row r="69">
      <c r="O69" s="19"/>
    </row>
    <row r="70">
      <c r="O70" s="19"/>
    </row>
    <row r="71">
      <c r="O71" s="19"/>
    </row>
    <row r="72">
      <c r="O72" s="19"/>
    </row>
    <row r="73">
      <c r="O73" s="19"/>
    </row>
    <row r="74">
      <c r="O74" s="19"/>
    </row>
    <row r="75">
      <c r="O75" s="19"/>
    </row>
    <row r="76">
      <c r="O76" s="19"/>
    </row>
    <row r="77">
      <c r="O77" s="19"/>
    </row>
    <row r="78">
      <c r="O78" s="19"/>
    </row>
    <row r="79">
      <c r="O79" s="19"/>
    </row>
    <row r="80">
      <c r="O80" s="19"/>
    </row>
    <row r="81">
      <c r="O81" s="19"/>
    </row>
    <row r="82">
      <c r="O82" s="19"/>
    </row>
    <row r="83">
      <c r="O83" s="19"/>
    </row>
    <row r="84">
      <c r="O84" s="19"/>
    </row>
    <row r="85">
      <c r="O85" s="19"/>
    </row>
    <row r="86">
      <c r="O86" s="19"/>
    </row>
    <row r="87">
      <c r="O87" s="19"/>
    </row>
    <row r="88">
      <c r="O88" s="19"/>
    </row>
    <row r="89">
      <c r="O89" s="19"/>
    </row>
    <row r="90">
      <c r="O90" s="19"/>
    </row>
    <row r="91">
      <c r="O91" s="19"/>
    </row>
    <row r="92">
      <c r="O92" s="19"/>
    </row>
    <row r="93">
      <c r="O93" s="19"/>
    </row>
    <row r="94">
      <c r="O94" s="19"/>
    </row>
    <row r="95">
      <c r="O95" s="19"/>
    </row>
    <row r="96">
      <c r="O96" s="19"/>
    </row>
    <row r="97">
      <c r="O97" s="19"/>
    </row>
    <row r="98">
      <c r="O98" s="19"/>
    </row>
    <row r="99">
      <c r="O99" s="19"/>
    </row>
    <row r="100">
      <c r="O100" s="19"/>
    </row>
    <row r="101">
      <c r="O101" s="19"/>
    </row>
    <row r="102">
      <c r="O102" s="19"/>
    </row>
    <row r="103">
      <c r="O103" s="19"/>
    </row>
    <row r="104">
      <c r="O104" s="19"/>
    </row>
    <row r="105">
      <c r="O105" s="19"/>
    </row>
    <row r="106">
      <c r="O106" s="19"/>
    </row>
    <row r="107">
      <c r="O107" s="19"/>
    </row>
    <row r="108">
      <c r="O108" s="19"/>
    </row>
    <row r="109">
      <c r="O109" s="19"/>
    </row>
    <row r="110">
      <c r="O110" s="19"/>
    </row>
    <row r="111">
      <c r="O111" s="19"/>
    </row>
    <row r="112">
      <c r="O112" s="19"/>
    </row>
    <row r="113">
      <c r="O113" s="19"/>
    </row>
    <row r="114">
      <c r="O114" s="19"/>
    </row>
    <row r="115">
      <c r="O115" s="19"/>
    </row>
    <row r="116">
      <c r="O116" s="19"/>
    </row>
    <row r="117">
      <c r="O117" s="19"/>
    </row>
    <row r="118">
      <c r="O118" s="19"/>
    </row>
    <row r="119">
      <c r="O119" s="19"/>
    </row>
    <row r="120">
      <c r="O120" s="19"/>
    </row>
    <row r="121">
      <c r="O121" s="19"/>
    </row>
    <row r="122">
      <c r="O122" s="19"/>
    </row>
    <row r="123">
      <c r="O123" s="19"/>
    </row>
    <row r="124">
      <c r="O124" s="19"/>
    </row>
    <row r="125">
      <c r="O125" s="19"/>
    </row>
    <row r="126">
      <c r="O126" s="19"/>
    </row>
    <row r="127">
      <c r="O127" s="19"/>
    </row>
    <row r="128">
      <c r="O128" s="19"/>
    </row>
    <row r="129">
      <c r="O129" s="19"/>
    </row>
    <row r="130">
      <c r="O130" s="19"/>
    </row>
    <row r="131">
      <c r="O131" s="19"/>
    </row>
    <row r="132">
      <c r="O132" s="19"/>
    </row>
    <row r="133">
      <c r="O133" s="19"/>
    </row>
    <row r="134">
      <c r="O134" s="19"/>
    </row>
    <row r="135">
      <c r="O135" s="19"/>
    </row>
    <row r="136">
      <c r="O136" s="19"/>
    </row>
    <row r="137">
      <c r="O137" s="19"/>
    </row>
    <row r="138">
      <c r="O138" s="19"/>
    </row>
    <row r="139">
      <c r="O139" s="19"/>
    </row>
    <row r="140">
      <c r="O140" s="19"/>
    </row>
    <row r="141">
      <c r="O141" s="19"/>
    </row>
    <row r="142">
      <c r="O142" s="19"/>
    </row>
    <row r="143">
      <c r="O143" s="19"/>
    </row>
    <row r="144">
      <c r="O144" s="19"/>
    </row>
    <row r="145">
      <c r="O145" s="19"/>
    </row>
    <row r="146">
      <c r="O146" s="19"/>
    </row>
    <row r="147">
      <c r="O147" s="19"/>
    </row>
    <row r="148">
      <c r="O148" s="19"/>
    </row>
    <row r="149">
      <c r="O149" s="19"/>
    </row>
    <row r="150">
      <c r="O150" s="19"/>
    </row>
    <row r="151">
      <c r="O151" s="19"/>
    </row>
    <row r="152">
      <c r="O152" s="19"/>
    </row>
    <row r="153">
      <c r="O153" s="19"/>
    </row>
    <row r="154">
      <c r="O154" s="19"/>
    </row>
    <row r="155">
      <c r="O155" s="19"/>
    </row>
    <row r="156">
      <c r="O156" s="19"/>
    </row>
    <row r="157">
      <c r="O157" s="19"/>
    </row>
    <row r="158">
      <c r="O158" s="19"/>
    </row>
    <row r="159">
      <c r="O159" s="19"/>
    </row>
    <row r="160">
      <c r="O160" s="19"/>
    </row>
    <row r="161">
      <c r="O161" s="19"/>
    </row>
    <row r="162">
      <c r="O162" s="19"/>
    </row>
    <row r="163">
      <c r="O163" s="19"/>
    </row>
    <row r="164">
      <c r="O164" s="19"/>
    </row>
    <row r="165">
      <c r="O165" s="19"/>
    </row>
    <row r="166">
      <c r="O166" s="19"/>
    </row>
    <row r="167">
      <c r="O167" s="19"/>
    </row>
    <row r="168">
      <c r="O168" s="19"/>
    </row>
    <row r="169">
      <c r="O169" s="19"/>
    </row>
    <row r="170">
      <c r="O170" s="19"/>
    </row>
    <row r="171">
      <c r="O171" s="19"/>
    </row>
    <row r="172">
      <c r="O172" s="19"/>
    </row>
    <row r="173">
      <c r="O173" s="19"/>
    </row>
    <row r="174">
      <c r="O174" s="19"/>
    </row>
    <row r="175">
      <c r="O175" s="19"/>
    </row>
    <row r="176">
      <c r="O176" s="19"/>
    </row>
    <row r="177">
      <c r="O177" s="19"/>
    </row>
    <row r="178">
      <c r="O178" s="19"/>
    </row>
    <row r="179">
      <c r="O179" s="19"/>
    </row>
    <row r="180">
      <c r="O180" s="19"/>
    </row>
    <row r="181">
      <c r="O181" s="19"/>
    </row>
    <row r="182">
      <c r="O182" s="19"/>
    </row>
    <row r="183">
      <c r="O183" s="19"/>
    </row>
    <row r="184">
      <c r="O184" s="19"/>
    </row>
    <row r="185">
      <c r="O185" s="19"/>
    </row>
    <row r="186">
      <c r="O186" s="19"/>
    </row>
    <row r="187">
      <c r="O187" s="19"/>
    </row>
    <row r="188">
      <c r="O188" s="19"/>
    </row>
    <row r="189">
      <c r="O189" s="19"/>
    </row>
    <row r="190">
      <c r="O190" s="19"/>
    </row>
    <row r="191">
      <c r="O191" s="19"/>
    </row>
    <row r="192">
      <c r="O192" s="19"/>
    </row>
    <row r="193">
      <c r="O193" s="19"/>
    </row>
    <row r="194">
      <c r="O194" s="19"/>
    </row>
    <row r="195">
      <c r="O195" s="19"/>
    </row>
    <row r="196">
      <c r="O196" s="19"/>
    </row>
    <row r="197">
      <c r="O197" s="19"/>
    </row>
    <row r="198">
      <c r="O198" s="19"/>
    </row>
    <row r="199">
      <c r="O199" s="19"/>
    </row>
    <row r="200">
      <c r="O200" s="19"/>
    </row>
    <row r="201">
      <c r="O201" s="19"/>
    </row>
    <row r="202">
      <c r="O202" s="19"/>
    </row>
    <row r="203">
      <c r="O203" s="19"/>
    </row>
    <row r="204">
      <c r="O204" s="19"/>
    </row>
    <row r="205">
      <c r="O205" s="19"/>
    </row>
    <row r="206">
      <c r="O206" s="19"/>
    </row>
    <row r="207">
      <c r="O207" s="19"/>
    </row>
    <row r="208">
      <c r="O208" s="19"/>
    </row>
    <row r="209">
      <c r="O209" s="19"/>
    </row>
    <row r="210">
      <c r="O210" s="19"/>
    </row>
    <row r="211">
      <c r="O211" s="19"/>
    </row>
    <row r="212">
      <c r="O212" s="19"/>
    </row>
    <row r="213">
      <c r="O213" s="19"/>
    </row>
    <row r="214">
      <c r="O214" s="19"/>
    </row>
    <row r="215">
      <c r="O215" s="19"/>
    </row>
    <row r="216">
      <c r="O216" s="19"/>
    </row>
    <row r="217">
      <c r="O217" s="19"/>
    </row>
    <row r="218">
      <c r="O218" s="19"/>
    </row>
    <row r="219">
      <c r="O219" s="19"/>
    </row>
    <row r="220">
      <c r="O220" s="19"/>
    </row>
    <row r="221">
      <c r="O221" s="19"/>
    </row>
    <row r="222">
      <c r="O222" s="19"/>
    </row>
    <row r="223">
      <c r="O223" s="19"/>
    </row>
    <row r="224">
      <c r="O224" s="19"/>
    </row>
    <row r="225">
      <c r="O225" s="19"/>
    </row>
    <row r="226">
      <c r="O226" s="19"/>
    </row>
    <row r="227">
      <c r="O227" s="19"/>
    </row>
    <row r="228">
      <c r="O228" s="19"/>
    </row>
    <row r="229">
      <c r="O229" s="19"/>
    </row>
    <row r="230">
      <c r="O230" s="19"/>
    </row>
    <row r="231">
      <c r="O231" s="19"/>
    </row>
    <row r="232">
      <c r="O232" s="19"/>
    </row>
    <row r="233">
      <c r="O233" s="19"/>
    </row>
    <row r="234">
      <c r="O234" s="19"/>
    </row>
    <row r="235">
      <c r="O235" s="19"/>
    </row>
    <row r="236">
      <c r="O236" s="19"/>
    </row>
    <row r="237">
      <c r="O237" s="19"/>
    </row>
    <row r="238">
      <c r="O238" s="19"/>
    </row>
    <row r="239">
      <c r="O239" s="19"/>
    </row>
    <row r="240">
      <c r="O240" s="19"/>
    </row>
    <row r="241">
      <c r="O241" s="19"/>
    </row>
    <row r="242">
      <c r="O242" s="19"/>
    </row>
    <row r="243">
      <c r="O243" s="19"/>
    </row>
    <row r="244">
      <c r="O244" s="19"/>
    </row>
    <row r="245">
      <c r="O245" s="19"/>
    </row>
    <row r="246">
      <c r="O246" s="19"/>
    </row>
    <row r="247">
      <c r="O247" s="19"/>
    </row>
    <row r="248">
      <c r="O248" s="19"/>
    </row>
    <row r="249">
      <c r="O249" s="19"/>
    </row>
    <row r="250">
      <c r="O250" s="19"/>
    </row>
    <row r="251">
      <c r="O251" s="19"/>
    </row>
    <row r="252">
      <c r="O252" s="19"/>
    </row>
    <row r="253">
      <c r="O253" s="19"/>
    </row>
    <row r="254">
      <c r="O254" s="19"/>
    </row>
    <row r="255">
      <c r="O255" s="19"/>
    </row>
    <row r="256">
      <c r="O256" s="19"/>
    </row>
    <row r="257">
      <c r="O257" s="19"/>
    </row>
    <row r="258">
      <c r="O258" s="19"/>
    </row>
    <row r="259">
      <c r="O259" s="19"/>
    </row>
    <row r="260">
      <c r="O260" s="19"/>
    </row>
    <row r="261">
      <c r="O261" s="19"/>
    </row>
    <row r="262">
      <c r="O262" s="19"/>
    </row>
    <row r="263">
      <c r="O263" s="19"/>
    </row>
    <row r="264">
      <c r="O264" s="19"/>
    </row>
    <row r="265">
      <c r="O265" s="19"/>
    </row>
    <row r="266">
      <c r="O266" s="19"/>
    </row>
    <row r="267">
      <c r="O267" s="19"/>
    </row>
    <row r="268">
      <c r="O268" s="19"/>
    </row>
    <row r="269">
      <c r="O269" s="19"/>
    </row>
    <row r="270">
      <c r="O270" s="19"/>
    </row>
    <row r="271">
      <c r="O271" s="19"/>
    </row>
    <row r="272">
      <c r="O272" s="19"/>
    </row>
    <row r="273">
      <c r="O273" s="19"/>
    </row>
    <row r="274">
      <c r="O274" s="19"/>
    </row>
    <row r="275">
      <c r="O275" s="19"/>
    </row>
    <row r="276">
      <c r="O276" s="19"/>
    </row>
    <row r="277">
      <c r="O277" s="19"/>
    </row>
    <row r="278">
      <c r="O278" s="19"/>
    </row>
    <row r="279">
      <c r="O279" s="19"/>
    </row>
    <row r="280">
      <c r="O280" s="19"/>
    </row>
    <row r="281">
      <c r="O281" s="19"/>
    </row>
    <row r="282">
      <c r="O282" s="19"/>
    </row>
    <row r="283">
      <c r="O283" s="19"/>
    </row>
    <row r="284">
      <c r="O284" s="19"/>
    </row>
    <row r="285">
      <c r="O285" s="19"/>
    </row>
    <row r="286">
      <c r="O286" s="19"/>
    </row>
    <row r="287">
      <c r="O287" s="19"/>
    </row>
    <row r="288">
      <c r="O288" s="19"/>
    </row>
    <row r="289">
      <c r="O289" s="19"/>
    </row>
    <row r="290">
      <c r="O290" s="19"/>
    </row>
    <row r="291">
      <c r="O291" s="19"/>
    </row>
    <row r="292">
      <c r="O292" s="19"/>
    </row>
    <row r="293">
      <c r="O293" s="19"/>
    </row>
    <row r="294">
      <c r="O294" s="19"/>
    </row>
    <row r="295">
      <c r="O295" s="19"/>
    </row>
    <row r="296">
      <c r="O296" s="19"/>
    </row>
    <row r="297">
      <c r="O297" s="19"/>
    </row>
    <row r="298">
      <c r="O298" s="19"/>
    </row>
    <row r="299">
      <c r="O299" s="19"/>
    </row>
    <row r="300">
      <c r="O300" s="19"/>
    </row>
    <row r="301">
      <c r="O301" s="19"/>
    </row>
    <row r="302">
      <c r="O302" s="19"/>
    </row>
    <row r="303">
      <c r="O303" s="19"/>
    </row>
    <row r="304">
      <c r="O304" s="19"/>
    </row>
    <row r="305">
      <c r="O305" s="19"/>
    </row>
    <row r="306">
      <c r="O306" s="19"/>
    </row>
    <row r="307">
      <c r="O307" s="19"/>
    </row>
    <row r="308">
      <c r="O308" s="19"/>
    </row>
    <row r="309">
      <c r="O309" s="19"/>
    </row>
    <row r="310">
      <c r="O310" s="19"/>
    </row>
    <row r="311">
      <c r="O311" s="19"/>
    </row>
    <row r="312">
      <c r="O312" s="19"/>
    </row>
    <row r="313">
      <c r="O313" s="19"/>
    </row>
    <row r="314">
      <c r="O314" s="19"/>
    </row>
    <row r="315">
      <c r="O315" s="19"/>
    </row>
    <row r="316">
      <c r="O316" s="19"/>
    </row>
    <row r="317">
      <c r="O317" s="19"/>
    </row>
    <row r="318">
      <c r="O318" s="19"/>
    </row>
    <row r="319">
      <c r="O319" s="19"/>
    </row>
    <row r="320">
      <c r="O320" s="19"/>
    </row>
    <row r="321">
      <c r="O321" s="19"/>
    </row>
    <row r="322">
      <c r="O322" s="19"/>
    </row>
    <row r="323">
      <c r="O323" s="19"/>
    </row>
    <row r="324">
      <c r="O324" s="19"/>
    </row>
    <row r="325">
      <c r="O325" s="19"/>
    </row>
    <row r="326">
      <c r="O326" s="19"/>
    </row>
    <row r="327">
      <c r="O327" s="19"/>
    </row>
    <row r="328">
      <c r="O328" s="19"/>
    </row>
    <row r="329">
      <c r="O329" s="19"/>
    </row>
    <row r="330">
      <c r="O330" s="19"/>
    </row>
    <row r="331">
      <c r="O331" s="19"/>
    </row>
    <row r="332">
      <c r="O332" s="19"/>
    </row>
    <row r="333">
      <c r="O333" s="19"/>
    </row>
    <row r="334">
      <c r="O334" s="19"/>
    </row>
    <row r="335">
      <c r="O335" s="19"/>
    </row>
    <row r="336">
      <c r="O336" s="19"/>
    </row>
    <row r="337">
      <c r="O337" s="19"/>
    </row>
    <row r="338">
      <c r="O338" s="19"/>
    </row>
    <row r="339">
      <c r="O339" s="19"/>
    </row>
    <row r="340">
      <c r="O340" s="19"/>
    </row>
    <row r="341">
      <c r="O341" s="19"/>
    </row>
    <row r="342">
      <c r="O342" s="19"/>
    </row>
    <row r="343">
      <c r="O343" s="19"/>
    </row>
    <row r="344">
      <c r="O344" s="19"/>
    </row>
    <row r="345">
      <c r="O345" s="19"/>
    </row>
    <row r="346">
      <c r="O346" s="19"/>
    </row>
    <row r="347">
      <c r="O347" s="19"/>
    </row>
    <row r="348">
      <c r="O348" s="19"/>
    </row>
    <row r="349">
      <c r="O349" s="19"/>
    </row>
    <row r="350">
      <c r="O350" s="19"/>
    </row>
    <row r="351">
      <c r="O351" s="19"/>
    </row>
    <row r="352">
      <c r="O352" s="19"/>
    </row>
    <row r="353">
      <c r="O353" s="19"/>
    </row>
    <row r="354">
      <c r="O354" s="19"/>
    </row>
    <row r="355">
      <c r="O355" s="19"/>
    </row>
    <row r="356">
      <c r="O356" s="19"/>
    </row>
    <row r="357">
      <c r="O357" s="19"/>
    </row>
    <row r="358">
      <c r="O358" s="19"/>
    </row>
    <row r="359">
      <c r="O359" s="19"/>
    </row>
    <row r="360">
      <c r="O360" s="19"/>
    </row>
    <row r="361">
      <c r="O361" s="19"/>
    </row>
    <row r="362">
      <c r="O362" s="19"/>
    </row>
    <row r="363">
      <c r="O363" s="19"/>
    </row>
    <row r="364">
      <c r="O364" s="19"/>
    </row>
    <row r="365">
      <c r="O365" s="19"/>
    </row>
    <row r="366">
      <c r="O366" s="19"/>
    </row>
    <row r="367">
      <c r="O367" s="19"/>
    </row>
    <row r="368">
      <c r="O368" s="19"/>
    </row>
    <row r="369">
      <c r="O369" s="19"/>
    </row>
    <row r="370">
      <c r="O370" s="19"/>
    </row>
    <row r="371">
      <c r="O371" s="19"/>
    </row>
    <row r="372">
      <c r="O372" s="19"/>
    </row>
    <row r="373">
      <c r="O373" s="19"/>
    </row>
    <row r="374">
      <c r="O374" s="19"/>
    </row>
    <row r="375">
      <c r="O375" s="19"/>
    </row>
    <row r="376">
      <c r="O376" s="19"/>
    </row>
    <row r="377">
      <c r="O377" s="19"/>
    </row>
    <row r="378">
      <c r="O378" s="19"/>
    </row>
    <row r="379">
      <c r="O379" s="19"/>
    </row>
    <row r="380">
      <c r="O380" s="19"/>
    </row>
    <row r="381">
      <c r="O381" s="19"/>
    </row>
    <row r="382">
      <c r="O382" s="19"/>
    </row>
    <row r="383">
      <c r="O383" s="19"/>
    </row>
    <row r="384">
      <c r="O384" s="19"/>
    </row>
    <row r="385">
      <c r="O385" s="19"/>
    </row>
    <row r="386">
      <c r="O386" s="19"/>
    </row>
    <row r="387">
      <c r="O387" s="19"/>
    </row>
    <row r="388">
      <c r="O388" s="19"/>
    </row>
    <row r="389">
      <c r="O389" s="19"/>
    </row>
    <row r="390">
      <c r="O390" s="19"/>
    </row>
    <row r="391">
      <c r="O391" s="19"/>
    </row>
    <row r="392">
      <c r="O392" s="19"/>
    </row>
    <row r="393">
      <c r="O393" s="19"/>
    </row>
    <row r="394">
      <c r="O394" s="19"/>
    </row>
    <row r="395">
      <c r="O395" s="19"/>
    </row>
    <row r="396">
      <c r="O396" s="19"/>
    </row>
    <row r="397">
      <c r="O397" s="19"/>
    </row>
    <row r="398">
      <c r="O398" s="19"/>
    </row>
    <row r="399">
      <c r="O399" s="19"/>
    </row>
    <row r="400">
      <c r="O400" s="19"/>
    </row>
    <row r="401">
      <c r="O401" s="19"/>
    </row>
    <row r="402">
      <c r="O402" s="19"/>
    </row>
    <row r="403">
      <c r="O403" s="19"/>
    </row>
    <row r="404">
      <c r="O404" s="19"/>
    </row>
    <row r="405">
      <c r="O405" s="19"/>
    </row>
    <row r="406">
      <c r="O406" s="19"/>
    </row>
    <row r="407">
      <c r="O407" s="19"/>
    </row>
    <row r="408">
      <c r="O408" s="19"/>
    </row>
    <row r="409">
      <c r="O409" s="19"/>
    </row>
    <row r="410">
      <c r="O410" s="19"/>
    </row>
    <row r="411">
      <c r="O411" s="19"/>
    </row>
    <row r="412">
      <c r="O412" s="19"/>
    </row>
    <row r="413">
      <c r="O413" s="19"/>
    </row>
    <row r="414">
      <c r="O414" s="19"/>
    </row>
    <row r="415">
      <c r="O415" s="19"/>
    </row>
    <row r="416">
      <c r="O416" s="19"/>
    </row>
    <row r="417">
      <c r="O417" s="19"/>
    </row>
    <row r="418">
      <c r="O418" s="19"/>
    </row>
    <row r="419">
      <c r="O419" s="19"/>
    </row>
    <row r="420">
      <c r="O420" s="19"/>
    </row>
    <row r="421">
      <c r="O421" s="19"/>
    </row>
    <row r="422">
      <c r="O422" s="19"/>
    </row>
    <row r="423">
      <c r="O423" s="19"/>
    </row>
    <row r="424">
      <c r="O424" s="19"/>
    </row>
    <row r="425">
      <c r="O425" s="19"/>
    </row>
    <row r="426">
      <c r="O426" s="19"/>
    </row>
    <row r="427">
      <c r="O427" s="19"/>
    </row>
    <row r="428">
      <c r="O428" s="19"/>
    </row>
    <row r="429">
      <c r="O429" s="19"/>
    </row>
    <row r="430">
      <c r="O430" s="19"/>
    </row>
    <row r="431">
      <c r="O431" s="19"/>
    </row>
    <row r="432">
      <c r="O432" s="19"/>
    </row>
    <row r="433">
      <c r="O433" s="19"/>
    </row>
    <row r="434">
      <c r="O434" s="19"/>
    </row>
    <row r="435">
      <c r="O435" s="19"/>
    </row>
    <row r="436">
      <c r="O436" s="19"/>
    </row>
    <row r="437">
      <c r="O437" s="19"/>
    </row>
    <row r="438">
      <c r="O438" s="19"/>
    </row>
    <row r="439">
      <c r="O439" s="19"/>
    </row>
    <row r="440">
      <c r="O440" s="19"/>
    </row>
    <row r="441">
      <c r="O441" s="19"/>
    </row>
    <row r="442">
      <c r="O442" s="19"/>
    </row>
    <row r="443">
      <c r="O443" s="19"/>
    </row>
    <row r="444">
      <c r="O444" s="19"/>
    </row>
    <row r="445">
      <c r="O445" s="19"/>
    </row>
    <row r="446">
      <c r="O446" s="19"/>
    </row>
    <row r="447">
      <c r="O447" s="19"/>
    </row>
    <row r="448">
      <c r="O448" s="19"/>
    </row>
    <row r="449">
      <c r="O449" s="19"/>
    </row>
    <row r="450">
      <c r="O450" s="19"/>
    </row>
    <row r="451">
      <c r="O451" s="19"/>
    </row>
    <row r="452">
      <c r="O452" s="19"/>
    </row>
    <row r="453">
      <c r="O453" s="19"/>
    </row>
    <row r="454">
      <c r="O454" s="19"/>
    </row>
    <row r="455">
      <c r="O455" s="19"/>
    </row>
    <row r="456">
      <c r="O456" s="19"/>
    </row>
    <row r="457">
      <c r="O457" s="19"/>
    </row>
    <row r="458">
      <c r="O458" s="19"/>
    </row>
    <row r="459">
      <c r="O459" s="19"/>
    </row>
    <row r="460">
      <c r="O460" s="19"/>
    </row>
    <row r="461">
      <c r="O461" s="19"/>
    </row>
    <row r="462">
      <c r="O462" s="19"/>
    </row>
    <row r="463">
      <c r="O463" s="19"/>
    </row>
    <row r="464">
      <c r="O464" s="19"/>
    </row>
    <row r="465">
      <c r="O465" s="19"/>
    </row>
    <row r="466">
      <c r="O466" s="19"/>
    </row>
    <row r="467">
      <c r="O467" s="19"/>
    </row>
    <row r="468">
      <c r="O468" s="19"/>
    </row>
    <row r="469">
      <c r="O469" s="19"/>
    </row>
    <row r="470">
      <c r="O470" s="19"/>
    </row>
    <row r="471">
      <c r="O471" s="19"/>
    </row>
    <row r="472">
      <c r="O472" s="19"/>
    </row>
    <row r="473">
      <c r="O473" s="19"/>
    </row>
    <row r="474">
      <c r="O474" s="19"/>
    </row>
    <row r="475">
      <c r="O475" s="19"/>
    </row>
    <row r="476">
      <c r="O476" s="19"/>
    </row>
    <row r="477">
      <c r="O477" s="19"/>
    </row>
    <row r="478">
      <c r="O478" s="19"/>
    </row>
    <row r="479">
      <c r="O479" s="19"/>
    </row>
    <row r="480">
      <c r="O480" s="19"/>
    </row>
    <row r="481">
      <c r="O481" s="19"/>
    </row>
    <row r="482">
      <c r="O482" s="19"/>
    </row>
    <row r="483">
      <c r="O483" s="19"/>
    </row>
    <row r="484">
      <c r="O484" s="19"/>
    </row>
    <row r="485">
      <c r="O485" s="19"/>
    </row>
    <row r="486">
      <c r="O486" s="19"/>
    </row>
    <row r="487">
      <c r="O487" s="19"/>
    </row>
    <row r="488">
      <c r="O488" s="19"/>
    </row>
    <row r="489">
      <c r="O489" s="19"/>
    </row>
    <row r="490">
      <c r="O490" s="19"/>
    </row>
    <row r="491">
      <c r="O491" s="19"/>
    </row>
    <row r="492">
      <c r="O492" s="19"/>
    </row>
    <row r="493">
      <c r="O493" s="19"/>
    </row>
    <row r="494">
      <c r="O494" s="19"/>
    </row>
    <row r="495">
      <c r="O495" s="19"/>
    </row>
    <row r="496">
      <c r="O496" s="19"/>
    </row>
    <row r="497">
      <c r="O497" s="19"/>
    </row>
    <row r="498">
      <c r="O498" s="19"/>
    </row>
    <row r="499">
      <c r="O499" s="19"/>
    </row>
    <row r="500">
      <c r="O500" s="19"/>
    </row>
    <row r="501">
      <c r="O501" s="19"/>
    </row>
    <row r="502">
      <c r="O502" s="19"/>
    </row>
    <row r="503">
      <c r="O503" s="19"/>
    </row>
    <row r="504">
      <c r="O504" s="19"/>
    </row>
    <row r="505">
      <c r="O505" s="19"/>
    </row>
    <row r="506">
      <c r="O506" s="19"/>
    </row>
    <row r="507">
      <c r="O507" s="19"/>
    </row>
    <row r="508">
      <c r="O508" s="19"/>
    </row>
    <row r="509">
      <c r="O509" s="19"/>
    </row>
    <row r="510">
      <c r="O510" s="19"/>
    </row>
    <row r="511">
      <c r="O511" s="19"/>
    </row>
    <row r="512">
      <c r="O512" s="19"/>
    </row>
    <row r="513">
      <c r="O513" s="19"/>
    </row>
    <row r="514">
      <c r="O514" s="19"/>
    </row>
    <row r="515">
      <c r="O515" s="19"/>
    </row>
    <row r="516">
      <c r="O516" s="19"/>
    </row>
    <row r="517">
      <c r="O517" s="19"/>
    </row>
    <row r="518">
      <c r="O518" s="19"/>
    </row>
    <row r="519">
      <c r="O519" s="19"/>
    </row>
    <row r="520">
      <c r="O520" s="19"/>
    </row>
    <row r="521">
      <c r="O521" s="19"/>
    </row>
    <row r="522">
      <c r="O522" s="19"/>
    </row>
    <row r="523">
      <c r="O523" s="19"/>
    </row>
    <row r="524">
      <c r="O524" s="19"/>
    </row>
    <row r="525">
      <c r="O525" s="19"/>
    </row>
    <row r="526">
      <c r="O526" s="19"/>
    </row>
    <row r="527">
      <c r="O527" s="19"/>
    </row>
    <row r="528">
      <c r="O528" s="19"/>
    </row>
    <row r="529">
      <c r="O529" s="19"/>
    </row>
    <row r="530">
      <c r="O530" s="19"/>
    </row>
    <row r="531">
      <c r="O531" s="19"/>
    </row>
    <row r="532">
      <c r="O532" s="19"/>
    </row>
    <row r="533">
      <c r="O533" s="19"/>
    </row>
    <row r="534">
      <c r="O534" s="19"/>
    </row>
    <row r="535">
      <c r="O535" s="19"/>
    </row>
    <row r="536">
      <c r="O536" s="19"/>
    </row>
    <row r="537">
      <c r="O537" s="19"/>
    </row>
    <row r="538">
      <c r="O538" s="19"/>
    </row>
    <row r="539">
      <c r="O539" s="19"/>
    </row>
    <row r="540">
      <c r="O540" s="19"/>
    </row>
    <row r="541">
      <c r="O541" s="19"/>
    </row>
    <row r="542">
      <c r="O542" s="19"/>
    </row>
    <row r="543">
      <c r="O543" s="19"/>
    </row>
    <row r="544">
      <c r="O544" s="19"/>
    </row>
    <row r="545">
      <c r="O545" s="19"/>
    </row>
    <row r="546">
      <c r="O546" s="19"/>
    </row>
    <row r="547">
      <c r="O547" s="19"/>
    </row>
    <row r="548">
      <c r="O548" s="19"/>
    </row>
    <row r="549">
      <c r="O549" s="19"/>
    </row>
    <row r="550">
      <c r="O550" s="19"/>
    </row>
    <row r="551">
      <c r="O551" s="19"/>
    </row>
    <row r="552">
      <c r="O552" s="19"/>
    </row>
    <row r="553">
      <c r="O553" s="19"/>
    </row>
    <row r="554">
      <c r="O554" s="19"/>
    </row>
    <row r="555">
      <c r="O555" s="19"/>
    </row>
    <row r="556">
      <c r="O556" s="19"/>
    </row>
    <row r="557">
      <c r="O557" s="19"/>
    </row>
    <row r="558">
      <c r="O558" s="19"/>
    </row>
    <row r="559">
      <c r="O559" s="19"/>
    </row>
    <row r="560">
      <c r="O560" s="19"/>
    </row>
    <row r="561">
      <c r="O561" s="19"/>
    </row>
    <row r="562">
      <c r="O562" s="19"/>
    </row>
    <row r="563">
      <c r="O563" s="19"/>
    </row>
    <row r="564">
      <c r="O564" s="19"/>
    </row>
    <row r="565">
      <c r="O565" s="19"/>
    </row>
    <row r="566">
      <c r="O566" s="19"/>
    </row>
    <row r="567">
      <c r="O567" s="19"/>
    </row>
    <row r="568">
      <c r="O568" s="19"/>
    </row>
    <row r="569">
      <c r="O569" s="19"/>
    </row>
    <row r="570">
      <c r="O570" s="19"/>
    </row>
    <row r="571">
      <c r="O571" s="19"/>
    </row>
    <row r="572">
      <c r="O572" s="19"/>
    </row>
    <row r="573">
      <c r="O573" s="19"/>
    </row>
    <row r="574">
      <c r="O574" s="19"/>
    </row>
    <row r="575">
      <c r="O575" s="19"/>
    </row>
    <row r="576">
      <c r="O576" s="19"/>
    </row>
    <row r="577">
      <c r="O577" s="19"/>
    </row>
    <row r="578">
      <c r="O578" s="19"/>
    </row>
    <row r="579">
      <c r="O579" s="19"/>
    </row>
    <row r="580">
      <c r="O580" s="19"/>
    </row>
    <row r="581">
      <c r="O581" s="19"/>
    </row>
    <row r="582">
      <c r="O582" s="19"/>
    </row>
    <row r="583">
      <c r="O583" s="19"/>
    </row>
    <row r="584">
      <c r="O584" s="19"/>
    </row>
    <row r="585">
      <c r="O585" s="19"/>
    </row>
    <row r="586">
      <c r="O586" s="19"/>
    </row>
    <row r="587">
      <c r="O587" s="19"/>
    </row>
    <row r="588">
      <c r="O588" s="19"/>
    </row>
    <row r="589">
      <c r="O589" s="19"/>
    </row>
    <row r="590">
      <c r="O590" s="19"/>
    </row>
    <row r="591">
      <c r="O591" s="19"/>
    </row>
    <row r="592">
      <c r="O592" s="19"/>
    </row>
    <row r="593">
      <c r="O593" s="19"/>
    </row>
    <row r="594">
      <c r="O594" s="19"/>
    </row>
    <row r="595">
      <c r="O595" s="19"/>
    </row>
    <row r="596">
      <c r="O596" s="19"/>
    </row>
    <row r="597">
      <c r="O597" s="19"/>
    </row>
    <row r="598">
      <c r="O598" s="19"/>
    </row>
    <row r="599">
      <c r="O599" s="19"/>
    </row>
    <row r="600">
      <c r="O600" s="19"/>
    </row>
    <row r="601">
      <c r="O601" s="19"/>
    </row>
    <row r="602">
      <c r="O602" s="19"/>
    </row>
    <row r="603">
      <c r="O603" s="19"/>
    </row>
    <row r="604">
      <c r="O604" s="19"/>
    </row>
    <row r="605">
      <c r="O605" s="19"/>
    </row>
    <row r="606">
      <c r="O606" s="19"/>
    </row>
    <row r="607">
      <c r="O607" s="19"/>
    </row>
    <row r="608">
      <c r="O608" s="19"/>
    </row>
    <row r="609">
      <c r="O609" s="19"/>
    </row>
    <row r="610">
      <c r="O610" s="19"/>
    </row>
    <row r="611">
      <c r="O611" s="19"/>
    </row>
    <row r="612">
      <c r="O612" s="19"/>
    </row>
    <row r="613">
      <c r="O613" s="19"/>
    </row>
    <row r="614">
      <c r="O614" s="19"/>
    </row>
    <row r="615">
      <c r="O615" s="19"/>
    </row>
    <row r="616">
      <c r="O616" s="19"/>
    </row>
    <row r="617">
      <c r="O617" s="19"/>
    </row>
    <row r="618">
      <c r="O618" s="19"/>
    </row>
    <row r="619">
      <c r="O619" s="19"/>
    </row>
    <row r="620">
      <c r="O620" s="19"/>
    </row>
    <row r="621">
      <c r="O621" s="19"/>
    </row>
    <row r="622">
      <c r="O622" s="19"/>
    </row>
    <row r="623">
      <c r="O623" s="19"/>
    </row>
    <row r="624">
      <c r="O624" s="19"/>
    </row>
    <row r="625">
      <c r="O625" s="19"/>
    </row>
    <row r="626">
      <c r="O626" s="19"/>
    </row>
    <row r="627">
      <c r="O627" s="19"/>
    </row>
    <row r="628">
      <c r="O628" s="19"/>
    </row>
    <row r="629">
      <c r="O629" s="19"/>
    </row>
    <row r="630">
      <c r="O630" s="19"/>
    </row>
    <row r="631">
      <c r="O631" s="19"/>
    </row>
    <row r="632">
      <c r="O632" s="19"/>
    </row>
    <row r="633">
      <c r="O633" s="19"/>
    </row>
    <row r="634">
      <c r="O634" s="19"/>
    </row>
    <row r="635">
      <c r="O635" s="19"/>
    </row>
    <row r="636">
      <c r="O636" s="19"/>
    </row>
    <row r="637">
      <c r="O637" s="19"/>
    </row>
    <row r="638">
      <c r="O638" s="19"/>
    </row>
    <row r="639">
      <c r="O639" s="19"/>
    </row>
    <row r="640">
      <c r="O640" s="19"/>
    </row>
    <row r="641">
      <c r="O641" s="19"/>
    </row>
    <row r="642">
      <c r="O642" s="19"/>
    </row>
    <row r="643">
      <c r="O643" s="19"/>
    </row>
    <row r="644">
      <c r="O644" s="19"/>
    </row>
    <row r="645">
      <c r="O645" s="19"/>
    </row>
    <row r="646">
      <c r="O646" s="19"/>
    </row>
    <row r="647">
      <c r="O647" s="19"/>
    </row>
    <row r="648">
      <c r="O648" s="19"/>
    </row>
    <row r="649">
      <c r="O649" s="19"/>
    </row>
    <row r="650">
      <c r="O650" s="19"/>
    </row>
    <row r="651">
      <c r="O651" s="19"/>
    </row>
    <row r="652">
      <c r="O652" s="19"/>
    </row>
    <row r="653">
      <c r="O653" s="19"/>
    </row>
    <row r="654">
      <c r="O654" s="19"/>
    </row>
    <row r="655">
      <c r="O655" s="19"/>
    </row>
    <row r="656">
      <c r="O656" s="19"/>
    </row>
    <row r="657">
      <c r="O657" s="19"/>
    </row>
    <row r="658">
      <c r="O658" s="19"/>
    </row>
    <row r="659">
      <c r="O659" s="19"/>
    </row>
    <row r="660">
      <c r="O660" s="19"/>
    </row>
    <row r="661">
      <c r="O661" s="19"/>
    </row>
    <row r="662">
      <c r="O662" s="19"/>
    </row>
    <row r="663">
      <c r="O663" s="19"/>
    </row>
    <row r="664">
      <c r="O664" s="19"/>
    </row>
    <row r="665">
      <c r="O665" s="19"/>
    </row>
    <row r="666">
      <c r="O666" s="19"/>
    </row>
    <row r="667">
      <c r="O667" s="19"/>
    </row>
    <row r="668">
      <c r="O668" s="19"/>
    </row>
    <row r="669">
      <c r="O669" s="19"/>
    </row>
    <row r="670">
      <c r="O670" s="19"/>
    </row>
    <row r="671">
      <c r="O671" s="19"/>
    </row>
    <row r="672">
      <c r="O672" s="19"/>
    </row>
    <row r="673">
      <c r="O673" s="19"/>
    </row>
    <row r="674">
      <c r="O674" s="19"/>
    </row>
    <row r="675">
      <c r="O675" s="19"/>
    </row>
    <row r="676">
      <c r="O676" s="19"/>
    </row>
    <row r="677">
      <c r="O677" s="19"/>
    </row>
    <row r="678">
      <c r="O678" s="19"/>
    </row>
    <row r="679">
      <c r="O679" s="19"/>
    </row>
    <row r="680">
      <c r="O680" s="19"/>
    </row>
    <row r="681">
      <c r="O681" s="19"/>
    </row>
    <row r="682">
      <c r="O682" s="19"/>
    </row>
    <row r="683">
      <c r="O683" s="19"/>
    </row>
    <row r="684">
      <c r="O684" s="19"/>
    </row>
    <row r="685">
      <c r="O685" s="19"/>
    </row>
    <row r="686">
      <c r="O686" s="19"/>
    </row>
    <row r="687">
      <c r="O687" s="19"/>
    </row>
    <row r="688">
      <c r="O688" s="19"/>
    </row>
    <row r="689">
      <c r="O689" s="19"/>
    </row>
    <row r="690">
      <c r="O690" s="19"/>
    </row>
    <row r="691">
      <c r="O691" s="19"/>
    </row>
    <row r="692">
      <c r="O692" s="19"/>
    </row>
    <row r="693">
      <c r="O693" s="19"/>
    </row>
    <row r="694">
      <c r="O694" s="19"/>
    </row>
    <row r="695">
      <c r="O695" s="19"/>
    </row>
    <row r="696">
      <c r="O696" s="19"/>
    </row>
    <row r="697">
      <c r="O697" s="19"/>
    </row>
    <row r="698">
      <c r="O698" s="19"/>
    </row>
    <row r="699">
      <c r="O699" s="19"/>
    </row>
    <row r="700">
      <c r="O700" s="19"/>
    </row>
    <row r="701">
      <c r="O701" s="19"/>
    </row>
    <row r="702">
      <c r="O702" s="19"/>
    </row>
    <row r="703">
      <c r="O703" s="19"/>
    </row>
    <row r="704">
      <c r="O704" s="19"/>
    </row>
    <row r="705">
      <c r="O705" s="19"/>
    </row>
    <row r="706">
      <c r="O706" s="19"/>
    </row>
    <row r="707">
      <c r="O707" s="19"/>
    </row>
    <row r="708">
      <c r="O708" s="19"/>
    </row>
    <row r="709">
      <c r="O709" s="19"/>
    </row>
    <row r="710">
      <c r="O710" s="19"/>
    </row>
    <row r="711">
      <c r="O711" s="19"/>
    </row>
    <row r="712">
      <c r="O712" s="19"/>
    </row>
    <row r="713">
      <c r="O713" s="19"/>
    </row>
    <row r="714">
      <c r="O714" s="19"/>
    </row>
    <row r="715">
      <c r="O715" s="19"/>
    </row>
    <row r="716">
      <c r="O716" s="19"/>
    </row>
    <row r="717">
      <c r="O717" s="19"/>
    </row>
    <row r="718">
      <c r="O718" s="19"/>
    </row>
    <row r="719">
      <c r="O719" s="19"/>
    </row>
    <row r="720">
      <c r="O720" s="19"/>
    </row>
    <row r="721">
      <c r="O721" s="19"/>
    </row>
    <row r="722">
      <c r="O722" s="19"/>
    </row>
    <row r="723">
      <c r="O723" s="19"/>
    </row>
    <row r="724">
      <c r="O724" s="19"/>
    </row>
    <row r="725">
      <c r="O725" s="19"/>
    </row>
    <row r="726">
      <c r="O726" s="19"/>
    </row>
    <row r="727">
      <c r="O727" s="19"/>
    </row>
    <row r="728">
      <c r="O728" s="19"/>
    </row>
    <row r="729">
      <c r="O729" s="19"/>
    </row>
    <row r="730">
      <c r="O730" s="19"/>
    </row>
    <row r="731">
      <c r="O731" s="19"/>
    </row>
    <row r="732">
      <c r="O732" s="19"/>
    </row>
    <row r="733">
      <c r="O733" s="19"/>
    </row>
    <row r="734">
      <c r="O734" s="19"/>
    </row>
    <row r="735">
      <c r="O735" s="19"/>
    </row>
    <row r="736">
      <c r="O736" s="19"/>
    </row>
    <row r="737">
      <c r="O737" s="19"/>
    </row>
    <row r="738">
      <c r="O738" s="19"/>
    </row>
    <row r="739">
      <c r="O739" s="19"/>
    </row>
    <row r="740">
      <c r="O740" s="19"/>
    </row>
    <row r="741">
      <c r="O741" s="19"/>
    </row>
    <row r="742">
      <c r="O742" s="19"/>
    </row>
    <row r="743">
      <c r="O743" s="19"/>
    </row>
    <row r="744">
      <c r="O744" s="19"/>
    </row>
    <row r="745">
      <c r="O745" s="19"/>
    </row>
    <row r="746">
      <c r="O746" s="19"/>
    </row>
    <row r="747">
      <c r="O747" s="19"/>
    </row>
    <row r="748">
      <c r="O748" s="19"/>
    </row>
    <row r="749">
      <c r="O749" s="19"/>
    </row>
    <row r="750">
      <c r="O750" s="19"/>
    </row>
    <row r="751">
      <c r="O751" s="19"/>
    </row>
    <row r="752">
      <c r="O752" s="19"/>
    </row>
    <row r="753">
      <c r="O753" s="19"/>
    </row>
    <row r="754">
      <c r="O754" s="19"/>
    </row>
    <row r="755">
      <c r="O755" s="19"/>
    </row>
    <row r="756">
      <c r="O756" s="19"/>
    </row>
    <row r="757">
      <c r="O757" s="19"/>
    </row>
    <row r="758">
      <c r="O758" s="19"/>
    </row>
    <row r="759">
      <c r="O759" s="19"/>
    </row>
    <row r="760">
      <c r="O760" s="19"/>
    </row>
    <row r="761">
      <c r="O761" s="19"/>
    </row>
    <row r="762">
      <c r="O762" s="19"/>
    </row>
    <row r="763">
      <c r="O763" s="19"/>
    </row>
    <row r="764">
      <c r="O764" s="19"/>
    </row>
    <row r="765">
      <c r="O765" s="19"/>
    </row>
    <row r="766">
      <c r="O766" s="19"/>
    </row>
    <row r="767">
      <c r="O767" s="19"/>
    </row>
    <row r="768">
      <c r="O768" s="19"/>
    </row>
    <row r="769">
      <c r="O769" s="19"/>
    </row>
    <row r="770">
      <c r="O770" s="19"/>
    </row>
    <row r="771">
      <c r="O771" s="19"/>
    </row>
    <row r="772">
      <c r="O772" s="19"/>
    </row>
    <row r="773">
      <c r="O773" s="19"/>
    </row>
    <row r="774">
      <c r="O774" s="19"/>
    </row>
    <row r="775">
      <c r="O775" s="19"/>
    </row>
    <row r="776">
      <c r="O776" s="19"/>
    </row>
    <row r="777">
      <c r="O777" s="19"/>
    </row>
    <row r="778">
      <c r="O778" s="19"/>
    </row>
    <row r="779">
      <c r="O779" s="19"/>
    </row>
    <row r="780">
      <c r="O780" s="19"/>
    </row>
    <row r="781">
      <c r="O781" s="19"/>
    </row>
    <row r="782">
      <c r="O782" s="19"/>
    </row>
    <row r="783">
      <c r="O783" s="19"/>
    </row>
    <row r="784">
      <c r="O784" s="19"/>
    </row>
    <row r="785">
      <c r="O785" s="19"/>
    </row>
    <row r="786">
      <c r="O786" s="19"/>
    </row>
    <row r="787">
      <c r="O787" s="19"/>
    </row>
    <row r="788">
      <c r="O788" s="19"/>
    </row>
    <row r="789">
      <c r="O789" s="19"/>
    </row>
    <row r="790">
      <c r="O790" s="19"/>
    </row>
    <row r="791">
      <c r="O791" s="19"/>
    </row>
    <row r="792">
      <c r="O792" s="19"/>
    </row>
    <row r="793">
      <c r="O793" s="19"/>
    </row>
    <row r="794">
      <c r="O794" s="19"/>
    </row>
    <row r="795">
      <c r="O795" s="19"/>
    </row>
    <row r="796">
      <c r="O796" s="19"/>
    </row>
    <row r="797">
      <c r="O797" s="19"/>
    </row>
    <row r="798">
      <c r="O798" s="19"/>
    </row>
    <row r="799">
      <c r="O799" s="19"/>
    </row>
    <row r="800">
      <c r="O800" s="19"/>
    </row>
    <row r="801">
      <c r="O801" s="19"/>
    </row>
    <row r="802">
      <c r="O802" s="19"/>
    </row>
    <row r="803">
      <c r="O803" s="19"/>
    </row>
    <row r="804">
      <c r="O804" s="19"/>
    </row>
    <row r="805">
      <c r="O805" s="19"/>
    </row>
    <row r="806">
      <c r="O806" s="19"/>
    </row>
    <row r="807">
      <c r="O807" s="19"/>
    </row>
    <row r="808">
      <c r="O808" s="19"/>
    </row>
    <row r="809">
      <c r="O809" s="19"/>
    </row>
    <row r="810">
      <c r="O810" s="19"/>
    </row>
    <row r="811">
      <c r="O811" s="19"/>
    </row>
    <row r="812">
      <c r="O812" s="19"/>
    </row>
    <row r="813">
      <c r="O813" s="19"/>
    </row>
    <row r="814">
      <c r="O814" s="19"/>
    </row>
    <row r="815">
      <c r="O815" s="19"/>
    </row>
    <row r="816">
      <c r="O816" s="19"/>
    </row>
    <row r="817">
      <c r="O817" s="19"/>
    </row>
    <row r="818">
      <c r="O818" s="19"/>
    </row>
    <row r="819">
      <c r="O819" s="19"/>
    </row>
    <row r="820">
      <c r="O820" s="19"/>
    </row>
    <row r="821">
      <c r="O821" s="19"/>
    </row>
    <row r="822">
      <c r="O822" s="19"/>
    </row>
    <row r="823">
      <c r="O823" s="19"/>
    </row>
    <row r="824">
      <c r="O824" s="19"/>
    </row>
    <row r="825">
      <c r="O825" s="19"/>
    </row>
    <row r="826">
      <c r="O826" s="19"/>
    </row>
    <row r="827">
      <c r="O827" s="19"/>
    </row>
    <row r="828">
      <c r="O828" s="19"/>
    </row>
    <row r="829">
      <c r="O829" s="19"/>
    </row>
    <row r="830">
      <c r="O830" s="19"/>
    </row>
    <row r="831">
      <c r="O831" s="19"/>
    </row>
    <row r="832">
      <c r="O832" s="19"/>
    </row>
    <row r="833">
      <c r="O833" s="19"/>
    </row>
    <row r="834">
      <c r="O834" s="19"/>
    </row>
    <row r="835">
      <c r="O835" s="19"/>
    </row>
    <row r="836">
      <c r="O836" s="19"/>
    </row>
    <row r="837">
      <c r="O837" s="19"/>
    </row>
    <row r="838">
      <c r="O838" s="19"/>
    </row>
    <row r="839">
      <c r="O839" s="19"/>
    </row>
    <row r="840">
      <c r="O840" s="19"/>
    </row>
    <row r="841">
      <c r="O841" s="19"/>
    </row>
    <row r="842">
      <c r="O842" s="19"/>
    </row>
    <row r="843">
      <c r="O843" s="19"/>
    </row>
    <row r="844">
      <c r="O844" s="19"/>
    </row>
    <row r="845">
      <c r="O845" s="19"/>
    </row>
    <row r="846">
      <c r="O846" s="19"/>
    </row>
    <row r="847">
      <c r="O847" s="19"/>
    </row>
    <row r="848">
      <c r="O848" s="19"/>
    </row>
    <row r="849">
      <c r="O849" s="19"/>
    </row>
    <row r="850">
      <c r="O850" s="19"/>
    </row>
    <row r="851">
      <c r="O851" s="19"/>
    </row>
    <row r="852">
      <c r="O852" s="19"/>
    </row>
    <row r="853">
      <c r="O853" s="19"/>
    </row>
    <row r="854">
      <c r="O854" s="19"/>
    </row>
    <row r="855">
      <c r="O855" s="19"/>
    </row>
    <row r="856">
      <c r="O856" s="19"/>
    </row>
    <row r="857">
      <c r="O857" s="19"/>
    </row>
    <row r="858">
      <c r="O858" s="19"/>
    </row>
    <row r="859">
      <c r="O859" s="19"/>
    </row>
    <row r="860">
      <c r="O860" s="19"/>
    </row>
    <row r="861">
      <c r="O861" s="19"/>
    </row>
    <row r="862">
      <c r="O862" s="19"/>
    </row>
    <row r="863">
      <c r="O863" s="19"/>
    </row>
    <row r="864">
      <c r="O864" s="19"/>
    </row>
    <row r="865">
      <c r="O865" s="19"/>
    </row>
    <row r="866">
      <c r="O866" s="19"/>
    </row>
    <row r="867">
      <c r="O867" s="19"/>
    </row>
    <row r="868">
      <c r="O868" s="19"/>
    </row>
    <row r="869">
      <c r="O869" s="19"/>
    </row>
    <row r="870">
      <c r="O870" s="19"/>
    </row>
    <row r="871">
      <c r="O871" s="19"/>
    </row>
    <row r="872">
      <c r="O872" s="19"/>
    </row>
    <row r="873">
      <c r="O873" s="19"/>
    </row>
    <row r="874">
      <c r="O874" s="19"/>
    </row>
    <row r="875">
      <c r="O875" s="19"/>
    </row>
    <row r="876">
      <c r="O876" s="19"/>
    </row>
    <row r="877">
      <c r="O877" s="19"/>
    </row>
    <row r="878">
      <c r="O878" s="19"/>
    </row>
    <row r="879">
      <c r="O879" s="19"/>
    </row>
    <row r="880">
      <c r="O880" s="19"/>
    </row>
    <row r="881">
      <c r="O881" s="19"/>
    </row>
    <row r="882">
      <c r="O882" s="19"/>
    </row>
    <row r="883">
      <c r="O883" s="19"/>
    </row>
    <row r="884">
      <c r="O884" s="19"/>
    </row>
    <row r="885">
      <c r="O885" s="19"/>
    </row>
    <row r="886">
      <c r="O886" s="19"/>
    </row>
    <row r="887">
      <c r="O887" s="19"/>
    </row>
    <row r="888">
      <c r="O888" s="19"/>
    </row>
    <row r="889">
      <c r="O889" s="19"/>
    </row>
    <row r="890">
      <c r="O890" s="19"/>
    </row>
    <row r="891">
      <c r="O891" s="19"/>
    </row>
    <row r="892">
      <c r="O892" s="19"/>
    </row>
    <row r="893">
      <c r="O893" s="19"/>
    </row>
    <row r="894">
      <c r="O894" s="19"/>
    </row>
    <row r="895">
      <c r="O895" s="19"/>
    </row>
    <row r="896">
      <c r="O896" s="19"/>
    </row>
    <row r="897">
      <c r="O897" s="19"/>
    </row>
    <row r="898">
      <c r="O898" s="19"/>
    </row>
    <row r="899">
      <c r="O899" s="19"/>
    </row>
    <row r="900">
      <c r="O900" s="19"/>
    </row>
    <row r="901">
      <c r="O901" s="19"/>
    </row>
    <row r="902">
      <c r="O902" s="19"/>
    </row>
    <row r="903">
      <c r="O903" s="19"/>
    </row>
    <row r="904">
      <c r="O904" s="19"/>
    </row>
    <row r="905">
      <c r="O905" s="19"/>
    </row>
    <row r="906">
      <c r="O906" s="19"/>
    </row>
    <row r="907">
      <c r="O907" s="19"/>
    </row>
    <row r="908">
      <c r="O908" s="19"/>
    </row>
    <row r="909">
      <c r="O909" s="19"/>
    </row>
    <row r="910">
      <c r="O910" s="19"/>
    </row>
    <row r="911">
      <c r="O911" s="19"/>
    </row>
    <row r="912">
      <c r="O912" s="19"/>
    </row>
    <row r="913">
      <c r="O913" s="19"/>
    </row>
    <row r="914">
      <c r="O914" s="19"/>
    </row>
    <row r="915">
      <c r="O915" s="19"/>
    </row>
    <row r="916">
      <c r="O916" s="19"/>
    </row>
    <row r="917">
      <c r="O917" s="19"/>
    </row>
    <row r="918">
      <c r="O918" s="19"/>
    </row>
    <row r="919">
      <c r="O919" s="19"/>
    </row>
    <row r="920">
      <c r="O920" s="19"/>
    </row>
    <row r="921">
      <c r="O921" s="19"/>
    </row>
    <row r="922">
      <c r="O922" s="19"/>
    </row>
    <row r="923">
      <c r="O923" s="19"/>
    </row>
    <row r="924">
      <c r="O924" s="19"/>
    </row>
    <row r="925">
      <c r="O925" s="19"/>
    </row>
    <row r="926">
      <c r="O926" s="19"/>
    </row>
    <row r="927">
      <c r="O927" s="19"/>
    </row>
    <row r="928">
      <c r="O928" s="19"/>
    </row>
    <row r="929">
      <c r="O929" s="19"/>
    </row>
    <row r="930">
      <c r="O930" s="19"/>
    </row>
    <row r="931">
      <c r="O931" s="19"/>
    </row>
    <row r="932">
      <c r="O932" s="19"/>
    </row>
    <row r="933">
      <c r="O933" s="19"/>
    </row>
    <row r="934">
      <c r="O934" s="19"/>
    </row>
    <row r="935">
      <c r="O935" s="19"/>
    </row>
    <row r="936">
      <c r="O936" s="19"/>
    </row>
    <row r="937">
      <c r="O937" s="19"/>
    </row>
    <row r="938">
      <c r="O938" s="19"/>
    </row>
    <row r="939">
      <c r="O939" s="19"/>
    </row>
    <row r="940">
      <c r="O940" s="19"/>
    </row>
    <row r="941">
      <c r="O941" s="19"/>
    </row>
    <row r="942">
      <c r="O942" s="19"/>
    </row>
    <row r="943">
      <c r="O943" s="19"/>
    </row>
    <row r="944">
      <c r="O944" s="19"/>
    </row>
    <row r="945">
      <c r="O945" s="19"/>
    </row>
    <row r="946">
      <c r="O946" s="19"/>
    </row>
    <row r="947">
      <c r="O947" s="19"/>
    </row>
    <row r="948">
      <c r="O948" s="19"/>
    </row>
    <row r="949">
      <c r="O949" s="19"/>
    </row>
    <row r="950">
      <c r="O950" s="19"/>
    </row>
    <row r="951">
      <c r="O951" s="19"/>
    </row>
    <row r="952">
      <c r="O952" s="19"/>
    </row>
    <row r="953">
      <c r="O953" s="19"/>
    </row>
    <row r="954">
      <c r="O954" s="19"/>
    </row>
    <row r="955">
      <c r="O955" s="19"/>
    </row>
    <row r="956">
      <c r="O956" s="19"/>
    </row>
    <row r="957">
      <c r="O957" s="19"/>
    </row>
    <row r="958">
      <c r="O958" s="19"/>
    </row>
    <row r="959">
      <c r="O959" s="19"/>
    </row>
    <row r="960">
      <c r="O960" s="19"/>
    </row>
    <row r="961">
      <c r="O961" s="19"/>
    </row>
    <row r="962">
      <c r="O962" s="19"/>
    </row>
    <row r="963">
      <c r="O963" s="19"/>
    </row>
    <row r="964">
      <c r="O964" s="19"/>
    </row>
    <row r="965">
      <c r="O965" s="19"/>
    </row>
    <row r="966">
      <c r="O966" s="19"/>
    </row>
    <row r="967">
      <c r="O967" s="19"/>
    </row>
    <row r="968">
      <c r="O968" s="19"/>
    </row>
    <row r="969">
      <c r="O969" s="19"/>
    </row>
    <row r="970">
      <c r="O970" s="19"/>
    </row>
    <row r="971">
      <c r="O971" s="19"/>
    </row>
    <row r="972">
      <c r="O972" s="19"/>
    </row>
    <row r="973">
      <c r="O973" s="19"/>
    </row>
    <row r="974">
      <c r="O974" s="19"/>
    </row>
    <row r="975">
      <c r="O975" s="19"/>
    </row>
    <row r="976">
      <c r="O976" s="19"/>
    </row>
    <row r="977">
      <c r="O977" s="19"/>
    </row>
    <row r="978">
      <c r="O978" s="19"/>
    </row>
    <row r="979">
      <c r="O979" s="19"/>
    </row>
    <row r="980">
      <c r="O980" s="19"/>
    </row>
    <row r="981">
      <c r="O981" s="19"/>
    </row>
    <row r="982">
      <c r="O982" s="19"/>
    </row>
    <row r="983">
      <c r="O983" s="19"/>
    </row>
    <row r="984">
      <c r="O984" s="19"/>
    </row>
    <row r="985">
      <c r="O985" s="19"/>
    </row>
    <row r="986">
      <c r="O986" s="19"/>
    </row>
    <row r="987">
      <c r="O987" s="19"/>
    </row>
    <row r="988">
      <c r="O988" s="19"/>
    </row>
    <row r="989">
      <c r="O989" s="19"/>
    </row>
    <row r="990">
      <c r="O990" s="19"/>
    </row>
    <row r="991">
      <c r="O991" s="19"/>
    </row>
    <row r="992">
      <c r="O992" s="19"/>
    </row>
    <row r="993">
      <c r="O993" s="19"/>
    </row>
    <row r="994">
      <c r="O994" s="19"/>
    </row>
    <row r="995">
      <c r="O995" s="19"/>
    </row>
    <row r="996">
      <c r="O996" s="19"/>
    </row>
    <row r="997">
      <c r="O997" s="19"/>
    </row>
    <row r="998">
      <c r="O998" s="19"/>
    </row>
    <row r="999">
      <c r="O999" s="19"/>
    </row>
    <row r="1000">
      <c r="O1000" s="19"/>
    </row>
  </sheetData>
  <conditionalFormatting sqref="E1">
    <cfRule type="expression" dxfId="0" priority="1">
      <formula>OR(AND(($F2="CALLS"),($E2&lt;$G2)),AND(($F2="PUTS"),($E2&gt;$G2)))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57"/>
    <col customWidth="1" min="2" max="2" width="10.71"/>
    <col customWidth="1" min="3" max="3" width="9.43"/>
    <col customWidth="1" min="4" max="4" width="8.43"/>
    <col customWidth="1" min="5" max="5" width="6.29"/>
    <col customWidth="1" min="6" max="6" width="8.0"/>
    <col customWidth="1" min="7" max="7" width="10.29"/>
    <col customWidth="1" min="8" max="8" width="8.71"/>
    <col customWidth="1" min="9" max="9" width="5.86"/>
    <col customWidth="1" min="10" max="10" width="10.86"/>
    <col customWidth="1" min="11" max="11" width="7.71"/>
    <col customWidth="1" min="12" max="12" width="8.71"/>
    <col customWidth="1" min="13" max="13" width="13.57"/>
    <col customWidth="1" min="14" max="14" width="8.29"/>
    <col customWidth="1" min="15" max="15" width="11.0"/>
    <col customWidth="1" min="16" max="16" width="22.43"/>
    <col customWidth="1" min="17" max="17" width="8.43"/>
    <col customWidth="1" min="18" max="18" width="10.14"/>
    <col customWidth="1" min="19" max="19" width="14.0"/>
    <col customWidth="1" min="20" max="20" width="65.14"/>
  </cols>
  <sheetData>
    <row r="1">
      <c r="A1" s="1" t="s">
        <v>0</v>
      </c>
      <c r="B1" s="7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3" t="s">
        <v>13</v>
      </c>
      <c r="N1" s="5" t="s">
        <v>14</v>
      </c>
      <c r="O1" s="7" t="s">
        <v>16</v>
      </c>
      <c r="P1" s="1" t="s">
        <v>18</v>
      </c>
      <c r="Q1" s="1" t="s">
        <v>19</v>
      </c>
      <c r="R1" s="1" t="s">
        <v>20</v>
      </c>
      <c r="S1" s="1" t="s">
        <v>21</v>
      </c>
      <c r="T1" s="1" t="s">
        <v>22</v>
      </c>
      <c r="U1" s="9"/>
      <c r="V1" s="9"/>
      <c r="W1" s="9"/>
      <c r="X1" s="9"/>
      <c r="Y1" s="9"/>
      <c r="Z1" s="9"/>
      <c r="AA1" s="9"/>
      <c r="AB1" s="9"/>
    </row>
    <row r="2">
      <c r="A2" s="25">
        <v>43866.0</v>
      </c>
      <c r="B2" s="28">
        <v>0.6680555555555555</v>
      </c>
      <c r="C2" s="5" t="s">
        <v>31</v>
      </c>
      <c r="D2" s="29">
        <v>43875.0</v>
      </c>
      <c r="E2" s="5">
        <v>332.0</v>
      </c>
      <c r="F2" s="5" t="s">
        <v>32</v>
      </c>
      <c r="G2" s="5">
        <v>332.84</v>
      </c>
      <c r="H2" s="5">
        <v>1797.0</v>
      </c>
      <c r="I2" s="5">
        <v>2.17</v>
      </c>
      <c r="J2" s="5" t="s">
        <v>33</v>
      </c>
      <c r="K2" s="5">
        <v>7572.0</v>
      </c>
      <c r="L2" s="5">
        <v>4264.0</v>
      </c>
      <c r="M2" s="30">
        <v>389949.0</v>
      </c>
      <c r="N2" s="15" t="str">
        <f t="array" ref="N2">IFERROR(VLOOKUP(T2,Ref_sheet!$A$1:$B$8,2,FALSE))</f>
        <v/>
      </c>
      <c r="O2" s="12">
        <v>33.0</v>
      </c>
      <c r="P2" s="5" t="s">
        <v>34</v>
      </c>
      <c r="Q2" s="5"/>
      <c r="R2" s="5" t="s">
        <v>35</v>
      </c>
      <c r="S2" s="5"/>
      <c r="T2" s="5" t="s">
        <v>36</v>
      </c>
    </row>
    <row r="3">
      <c r="A3" s="25">
        <v>43866.0</v>
      </c>
      <c r="B3" s="28">
        <v>0.6659722222222222</v>
      </c>
      <c r="C3" s="5" t="s">
        <v>37</v>
      </c>
      <c r="D3" s="29">
        <v>43868.0</v>
      </c>
      <c r="E3" s="5">
        <v>21.5</v>
      </c>
      <c r="F3" s="5" t="s">
        <v>38</v>
      </c>
      <c r="G3" s="5">
        <v>21.87</v>
      </c>
      <c r="H3" s="5">
        <v>1473.0</v>
      </c>
      <c r="I3" s="5">
        <v>1.65</v>
      </c>
      <c r="J3" s="5" t="s">
        <v>39</v>
      </c>
      <c r="K3" s="5">
        <v>1623.0</v>
      </c>
      <c r="L3" s="5">
        <v>384.0</v>
      </c>
      <c r="M3" s="30">
        <v>243030.0</v>
      </c>
      <c r="N3" s="15" t="str">
        <f t="array" ref="N3">IFERROR(VLOOKUP(T3,Ref_sheet!$A$1:$B$8,2,FALSE))</f>
        <v/>
      </c>
      <c r="O3" s="12">
        <v>63.0</v>
      </c>
      <c r="P3" s="5" t="s">
        <v>40</v>
      </c>
      <c r="Q3" s="5"/>
      <c r="R3" s="5" t="s">
        <v>41</v>
      </c>
      <c r="S3" s="5"/>
      <c r="T3" s="5" t="s">
        <v>42</v>
      </c>
    </row>
    <row r="4">
      <c r="A4" s="25">
        <v>43866.0</v>
      </c>
      <c r="B4" s="28">
        <v>0.6659722222222222</v>
      </c>
      <c r="C4" s="5" t="s">
        <v>43</v>
      </c>
      <c r="D4" s="29">
        <v>43882.0</v>
      </c>
      <c r="E4" s="5">
        <v>20.5</v>
      </c>
      <c r="F4" s="5" t="s">
        <v>38</v>
      </c>
      <c r="G4" s="5">
        <v>19.93</v>
      </c>
      <c r="H4" s="5">
        <v>2531.0</v>
      </c>
      <c r="I4" s="5">
        <v>0.35</v>
      </c>
      <c r="J4" s="5" t="s">
        <v>39</v>
      </c>
      <c r="K4" s="5">
        <v>9740.0</v>
      </c>
      <c r="L4" s="5">
        <v>7250.0</v>
      </c>
      <c r="M4" s="30">
        <v>88585.0</v>
      </c>
      <c r="N4" s="15" t="str">
        <f t="array" ref="N4">IFERROR(VLOOKUP(T4,Ref_sheet!$A$1:$B$8,2,FALSE))</f>
        <v/>
      </c>
      <c r="O4" s="12">
        <v>24.0</v>
      </c>
      <c r="P4" s="5" t="s">
        <v>34</v>
      </c>
      <c r="Q4" s="5"/>
      <c r="R4" s="5" t="s">
        <v>41</v>
      </c>
      <c r="S4" s="5"/>
      <c r="T4" s="5" t="s">
        <v>36</v>
      </c>
    </row>
    <row r="5">
      <c r="A5" s="25">
        <v>43866.0</v>
      </c>
      <c r="B5" s="28">
        <v>0.6652777777777777</v>
      </c>
      <c r="C5" s="5" t="s">
        <v>44</v>
      </c>
      <c r="D5" s="29">
        <v>43882.0</v>
      </c>
      <c r="E5" s="5">
        <v>12.0</v>
      </c>
      <c r="F5" s="5" t="s">
        <v>38</v>
      </c>
      <c r="G5" s="5">
        <v>12.38</v>
      </c>
      <c r="H5" s="5">
        <v>630.0</v>
      </c>
      <c r="I5" s="5">
        <v>0.64</v>
      </c>
      <c r="J5" s="5" t="s">
        <v>39</v>
      </c>
      <c r="K5" s="5">
        <v>10938.0</v>
      </c>
      <c r="L5" s="5">
        <v>25783.0</v>
      </c>
      <c r="M5" s="30">
        <v>40320.0</v>
      </c>
      <c r="N5" s="15" t="str">
        <f t="array" ref="N5">IFERROR(VLOOKUP(T5,Ref_sheet!$A$1:$B$8,2,FALSE))</f>
        <v/>
      </c>
      <c r="O5" s="12">
        <v>10.0</v>
      </c>
      <c r="P5" s="5" t="s">
        <v>45</v>
      </c>
      <c r="Q5" s="5"/>
      <c r="R5" s="5" t="s">
        <v>41</v>
      </c>
      <c r="S5" s="5"/>
      <c r="T5" s="5" t="s">
        <v>46</v>
      </c>
    </row>
    <row r="6">
      <c r="A6" s="25">
        <v>43866.0</v>
      </c>
      <c r="B6" s="28">
        <v>0.6652777777777777</v>
      </c>
      <c r="C6" s="5" t="s">
        <v>47</v>
      </c>
      <c r="D6" s="29">
        <v>44012.0</v>
      </c>
      <c r="E6" s="5">
        <v>31.0</v>
      </c>
      <c r="F6" s="5" t="s">
        <v>32</v>
      </c>
      <c r="G6" s="5">
        <v>31.05</v>
      </c>
      <c r="H6" s="5">
        <v>5000.0</v>
      </c>
      <c r="I6" s="5">
        <v>1.28</v>
      </c>
      <c r="J6" s="5" t="s">
        <v>33</v>
      </c>
      <c r="K6" s="5">
        <v>5008.0</v>
      </c>
      <c r="L6" s="5">
        <v>663.0</v>
      </c>
      <c r="M6" s="30">
        <v>640000.0</v>
      </c>
      <c r="N6" s="15" t="str">
        <f t="array" ref="N6">IFERROR(VLOOKUP(T6,Ref_sheet!$A$1:$B$8,2,FALSE))</f>
        <v/>
      </c>
      <c r="O6" s="12">
        <v>50.0</v>
      </c>
      <c r="P6" s="5" t="s">
        <v>34</v>
      </c>
      <c r="Q6" s="5"/>
      <c r="R6" s="5" t="s">
        <v>35</v>
      </c>
      <c r="S6" s="5"/>
      <c r="T6" s="5" t="s">
        <v>42</v>
      </c>
    </row>
    <row r="7">
      <c r="A7" s="25">
        <v>43866.0</v>
      </c>
      <c r="B7" s="28">
        <v>0.6652777777777777</v>
      </c>
      <c r="C7" s="5" t="s">
        <v>47</v>
      </c>
      <c r="D7" s="29">
        <v>44012.0</v>
      </c>
      <c r="E7" s="5">
        <v>31.0</v>
      </c>
      <c r="F7" s="5" t="s">
        <v>38</v>
      </c>
      <c r="G7" s="5">
        <v>31.05</v>
      </c>
      <c r="H7" s="5">
        <v>5000.0</v>
      </c>
      <c r="I7" s="5">
        <v>1.28</v>
      </c>
      <c r="J7" s="5" t="s">
        <v>48</v>
      </c>
      <c r="K7" s="5">
        <v>5005.0</v>
      </c>
      <c r="L7" s="5">
        <v>326.0</v>
      </c>
      <c r="M7" s="30">
        <v>640000.0</v>
      </c>
      <c r="N7" s="15" t="str">
        <f t="array" ref="N7">IFERROR(VLOOKUP(T7,Ref_sheet!$A$1:$B$8,2,FALSE))</f>
        <v/>
      </c>
      <c r="O7" s="12">
        <v>50.0</v>
      </c>
      <c r="P7" s="5" t="s">
        <v>34</v>
      </c>
      <c r="Q7" s="5"/>
      <c r="R7" s="5" t="s">
        <v>41</v>
      </c>
      <c r="S7" s="5"/>
      <c r="T7" s="5" t="s">
        <v>42</v>
      </c>
    </row>
    <row r="8">
      <c r="A8" s="25">
        <v>43866.0</v>
      </c>
      <c r="B8" s="28">
        <v>0.6652777777777777</v>
      </c>
      <c r="C8" s="5" t="s">
        <v>49</v>
      </c>
      <c r="D8" s="29">
        <v>43938.0</v>
      </c>
      <c r="E8" s="5">
        <v>240.0</v>
      </c>
      <c r="F8" s="5" t="s">
        <v>38</v>
      </c>
      <c r="G8" s="5">
        <v>228.09</v>
      </c>
      <c r="H8" s="5">
        <v>506.0</v>
      </c>
      <c r="I8" s="5">
        <v>1.64</v>
      </c>
      <c r="J8" s="5" t="s">
        <v>39</v>
      </c>
      <c r="K8" s="5">
        <v>8003.0</v>
      </c>
      <c r="L8" s="5">
        <v>1521.0</v>
      </c>
      <c r="M8" s="30">
        <v>82984.0</v>
      </c>
      <c r="N8" s="15" t="str">
        <f t="array" ref="N8">IFERROR(VLOOKUP(T8,Ref_sheet!$A$1:$B$8,2,FALSE))</f>
        <v/>
      </c>
      <c r="O8" s="12">
        <v>13.0</v>
      </c>
      <c r="P8" s="5" t="s">
        <v>34</v>
      </c>
      <c r="Q8" s="5"/>
      <c r="R8" s="5" t="s">
        <v>41</v>
      </c>
      <c r="S8" s="5"/>
      <c r="T8" s="5" t="s">
        <v>36</v>
      </c>
    </row>
    <row r="9">
      <c r="A9" s="25">
        <v>43866.0</v>
      </c>
      <c r="B9" s="28">
        <v>0.6652777777777777</v>
      </c>
      <c r="C9" s="5" t="s">
        <v>50</v>
      </c>
      <c r="D9" s="29">
        <v>44001.0</v>
      </c>
      <c r="E9" s="5">
        <v>65.0</v>
      </c>
      <c r="F9" s="5" t="s">
        <v>38</v>
      </c>
      <c r="G9" s="5">
        <v>36.52</v>
      </c>
      <c r="H9" s="5">
        <v>650.0</v>
      </c>
      <c r="I9" s="5">
        <v>1.4</v>
      </c>
      <c r="J9" s="5" t="s">
        <v>33</v>
      </c>
      <c r="K9" s="5">
        <v>1513.0</v>
      </c>
      <c r="L9" s="5">
        <v>1786.0</v>
      </c>
      <c r="M9" s="30">
        <v>91000.0</v>
      </c>
      <c r="N9" s="15" t="str">
        <f t="array" ref="N9">IFERROR(VLOOKUP(T9,Ref_sheet!$A$1:$B$8,2,FALSE))</f>
        <v/>
      </c>
      <c r="O9" s="12">
        <v>21.0</v>
      </c>
      <c r="P9" s="5" t="s">
        <v>51</v>
      </c>
      <c r="Q9" s="5"/>
      <c r="R9" s="5" t="s">
        <v>41</v>
      </c>
      <c r="S9" s="5"/>
      <c r="T9" s="5" t="s">
        <v>46</v>
      </c>
    </row>
    <row r="10">
      <c r="A10" s="25">
        <v>43866.0</v>
      </c>
      <c r="B10" s="28">
        <v>0.6645833333333333</v>
      </c>
      <c r="C10" s="5" t="s">
        <v>52</v>
      </c>
      <c r="D10" s="29">
        <v>43889.0</v>
      </c>
      <c r="E10" s="5">
        <v>17.5</v>
      </c>
      <c r="F10" s="5" t="s">
        <v>32</v>
      </c>
      <c r="G10" s="5">
        <v>17.73</v>
      </c>
      <c r="H10" s="5">
        <v>500.0</v>
      </c>
      <c r="I10" s="5">
        <v>1.69</v>
      </c>
      <c r="J10" s="5" t="s">
        <v>48</v>
      </c>
      <c r="K10" s="5">
        <v>511.0</v>
      </c>
      <c r="L10" s="5">
        <v>686.0</v>
      </c>
      <c r="M10" s="30">
        <v>84500.0</v>
      </c>
      <c r="N10" s="15" t="str">
        <f t="array" ref="N10">IFERROR(VLOOKUP(T10,Ref_sheet!$A$1:$B$8,2,FALSE))</f>
        <v/>
      </c>
      <c r="O10" s="12">
        <v>45.0</v>
      </c>
      <c r="P10" s="5" t="s">
        <v>53</v>
      </c>
      <c r="Q10" s="5"/>
      <c r="R10" s="5" t="s">
        <v>35</v>
      </c>
      <c r="S10" s="5"/>
      <c r="T10" s="5" t="s">
        <v>46</v>
      </c>
    </row>
    <row r="11">
      <c r="A11" s="25">
        <v>43866.0</v>
      </c>
      <c r="B11" s="28">
        <v>0.6638888888888889</v>
      </c>
      <c r="C11" s="5" t="s">
        <v>54</v>
      </c>
      <c r="D11" s="29">
        <v>43910.0</v>
      </c>
      <c r="E11" s="5">
        <v>11.0</v>
      </c>
      <c r="F11" s="5" t="s">
        <v>38</v>
      </c>
      <c r="G11" s="5">
        <v>10.71</v>
      </c>
      <c r="H11" s="5">
        <v>2000.0</v>
      </c>
      <c r="I11" s="5">
        <v>0.42</v>
      </c>
      <c r="J11" s="5" t="s">
        <v>39</v>
      </c>
      <c r="K11" s="5">
        <v>22166.0</v>
      </c>
      <c r="L11" s="5">
        <v>20270.0</v>
      </c>
      <c r="M11" s="30">
        <v>84000.0</v>
      </c>
      <c r="N11" s="15" t="str">
        <f t="array" ref="N11">IFERROR(VLOOKUP(T11,Ref_sheet!$A$1:$B$8,2,FALSE))</f>
        <v/>
      </c>
      <c r="O11" s="12">
        <v>9.0</v>
      </c>
      <c r="P11" s="5" t="s">
        <v>34</v>
      </c>
      <c r="Q11" s="5"/>
      <c r="R11" s="5" t="s">
        <v>41</v>
      </c>
      <c r="S11" s="5"/>
      <c r="T11" s="5" t="s">
        <v>36</v>
      </c>
    </row>
    <row r="12">
      <c r="A12" s="25">
        <v>43866.0</v>
      </c>
      <c r="B12" s="28">
        <v>0.6631944444444444</v>
      </c>
      <c r="C12" s="5" t="s">
        <v>37</v>
      </c>
      <c r="D12" s="29">
        <v>43910.0</v>
      </c>
      <c r="E12" s="5">
        <v>21.0</v>
      </c>
      <c r="F12" s="5" t="s">
        <v>32</v>
      </c>
      <c r="G12" s="5">
        <v>21.84</v>
      </c>
      <c r="H12" s="5">
        <v>600.0</v>
      </c>
      <c r="I12" s="5">
        <v>1.65</v>
      </c>
      <c r="J12" s="5" t="s">
        <v>39</v>
      </c>
      <c r="K12" s="5">
        <v>695.0</v>
      </c>
      <c r="L12" s="5">
        <v>838.0</v>
      </c>
      <c r="M12" s="30">
        <v>99000.0</v>
      </c>
      <c r="N12" s="15" t="str">
        <f t="array" ref="N12">IFERROR(VLOOKUP(T12,Ref_sheet!$A$1:$B$8,2,FALSE))</f>
        <v/>
      </c>
      <c r="O12" s="12">
        <v>40.0</v>
      </c>
      <c r="P12" s="5" t="s">
        <v>40</v>
      </c>
      <c r="Q12" s="5"/>
      <c r="R12" s="5" t="s">
        <v>35</v>
      </c>
      <c r="S12" s="5"/>
      <c r="T12" s="5" t="s">
        <v>46</v>
      </c>
    </row>
    <row r="13">
      <c r="A13" s="25">
        <v>43866.0</v>
      </c>
      <c r="B13" s="28">
        <v>0.6618055555555555</v>
      </c>
      <c r="C13" s="5" t="s">
        <v>44</v>
      </c>
      <c r="D13" s="29">
        <v>43875.0</v>
      </c>
      <c r="E13" s="5">
        <v>12.5</v>
      </c>
      <c r="F13" s="5" t="s">
        <v>38</v>
      </c>
      <c r="G13" s="5">
        <v>12.35</v>
      </c>
      <c r="H13" s="5">
        <v>1352.0</v>
      </c>
      <c r="I13" s="5">
        <v>0.27</v>
      </c>
      <c r="J13" s="5" t="s">
        <v>39</v>
      </c>
      <c r="K13" s="5">
        <v>5019.0</v>
      </c>
      <c r="L13" s="5">
        <v>2847.0</v>
      </c>
      <c r="M13" s="30">
        <v>36504.0</v>
      </c>
      <c r="N13" s="15" t="str">
        <f t="array" ref="N13">IFERROR(VLOOKUP(T13,Ref_sheet!$A$1:$B$8,2,FALSE))</f>
        <v/>
      </c>
      <c r="O13" s="12">
        <v>27.0</v>
      </c>
      <c r="P13" s="5" t="s">
        <v>45</v>
      </c>
      <c r="Q13" s="5"/>
      <c r="R13" s="5" t="s">
        <v>41</v>
      </c>
      <c r="S13" s="5"/>
      <c r="T13" s="5" t="s">
        <v>36</v>
      </c>
    </row>
    <row r="14">
      <c r="A14" s="25">
        <v>43866.0</v>
      </c>
      <c r="B14" s="28">
        <v>0.6618055555555555</v>
      </c>
      <c r="C14" s="5" t="s">
        <v>55</v>
      </c>
      <c r="D14" s="29">
        <v>43882.0</v>
      </c>
      <c r="E14" s="5">
        <v>70.0</v>
      </c>
      <c r="F14" s="5" t="s">
        <v>32</v>
      </c>
      <c r="G14" s="5">
        <v>75.32</v>
      </c>
      <c r="H14" s="5">
        <v>719.0</v>
      </c>
      <c r="I14" s="5">
        <v>0.85</v>
      </c>
      <c r="J14" s="5" t="s">
        <v>39</v>
      </c>
      <c r="K14" s="5">
        <v>7657.0</v>
      </c>
      <c r="L14" s="5">
        <v>4778.0</v>
      </c>
      <c r="M14" s="30">
        <v>61110.0</v>
      </c>
      <c r="N14" s="15" t="str">
        <f t="array" ref="N14">IFERROR(VLOOKUP(T14,Ref_sheet!$A$1:$B$8,2,FALSE))</f>
        <v/>
      </c>
      <c r="O14" s="12">
        <v>16.0</v>
      </c>
      <c r="P14" s="5" t="s">
        <v>51</v>
      </c>
      <c r="Q14" s="5"/>
      <c r="R14" s="5" t="s">
        <v>35</v>
      </c>
      <c r="S14" s="5"/>
      <c r="T14" s="5" t="s">
        <v>36</v>
      </c>
    </row>
    <row r="15">
      <c r="A15" s="25">
        <v>43866.0</v>
      </c>
      <c r="B15" s="28">
        <v>0.6611111111111111</v>
      </c>
      <c r="C15" s="5" t="s">
        <v>44</v>
      </c>
      <c r="D15" s="29">
        <v>43938.0</v>
      </c>
      <c r="E15" s="5">
        <v>14.0</v>
      </c>
      <c r="F15" s="5" t="s">
        <v>38</v>
      </c>
      <c r="G15" s="5">
        <v>12.34</v>
      </c>
      <c r="H15" s="5">
        <v>7583.0</v>
      </c>
      <c r="I15" s="5">
        <v>0.36</v>
      </c>
      <c r="J15" s="5" t="s">
        <v>48</v>
      </c>
      <c r="K15" s="5">
        <v>12613.0</v>
      </c>
      <c r="L15" s="5">
        <v>7827.0</v>
      </c>
      <c r="M15" s="30">
        <v>272988.0</v>
      </c>
      <c r="N15" s="15" t="str">
        <f t="array" ref="N15">IFERROR(VLOOKUP(T15,Ref_sheet!$A$1:$B$8,2,FALSE))</f>
        <v/>
      </c>
      <c r="O15" s="12">
        <v>41.0</v>
      </c>
      <c r="P15" s="5" t="s">
        <v>45</v>
      </c>
      <c r="Q15" s="5"/>
      <c r="R15" s="5" t="s">
        <v>41</v>
      </c>
      <c r="S15" s="5"/>
      <c r="T15" s="5" t="s">
        <v>36</v>
      </c>
    </row>
    <row r="16">
      <c r="A16" s="25">
        <v>43866.0</v>
      </c>
      <c r="B16" s="28">
        <v>0.6604166666666667</v>
      </c>
      <c r="C16" s="5" t="s">
        <v>56</v>
      </c>
      <c r="D16" s="29">
        <v>43882.0</v>
      </c>
      <c r="E16" s="5">
        <v>55.0</v>
      </c>
      <c r="F16" s="5" t="s">
        <v>38</v>
      </c>
      <c r="G16" s="5">
        <v>54.89</v>
      </c>
      <c r="H16" s="5">
        <v>2375.0</v>
      </c>
      <c r="I16" s="5">
        <v>0.93</v>
      </c>
      <c r="J16" s="5" t="s">
        <v>39</v>
      </c>
      <c r="K16" s="5">
        <v>4084.0</v>
      </c>
      <c r="L16" s="5">
        <v>3250.0</v>
      </c>
      <c r="M16" s="30">
        <v>220875.0</v>
      </c>
      <c r="N16" s="15" t="str">
        <f t="array" ref="N16">IFERROR(VLOOKUP(T16,Ref_sheet!$A$1:$B$8,2,FALSE))</f>
        <v/>
      </c>
      <c r="O16" s="12">
        <v>45.0</v>
      </c>
      <c r="P16" s="5" t="s">
        <v>34</v>
      </c>
      <c r="Q16" s="5"/>
      <c r="R16" s="5" t="s">
        <v>41</v>
      </c>
      <c r="S16" s="5"/>
      <c r="T16" s="5" t="s">
        <v>36</v>
      </c>
    </row>
    <row r="17">
      <c r="A17" s="25">
        <v>43866.0</v>
      </c>
      <c r="B17" s="28">
        <v>0.6604166666666667</v>
      </c>
      <c r="C17" s="5" t="s">
        <v>57</v>
      </c>
      <c r="D17" s="29">
        <v>43868.0</v>
      </c>
      <c r="E17" s="5">
        <v>45.0</v>
      </c>
      <c r="F17" s="5" t="s">
        <v>32</v>
      </c>
      <c r="G17" s="5">
        <v>49.55</v>
      </c>
      <c r="H17" s="5">
        <v>261.0</v>
      </c>
      <c r="I17" s="5">
        <v>2.0</v>
      </c>
      <c r="J17" s="5" t="s">
        <v>39</v>
      </c>
      <c r="K17" s="5">
        <v>759.0</v>
      </c>
      <c r="L17" s="5">
        <v>1022.0</v>
      </c>
      <c r="M17" s="30">
        <v>52200.0</v>
      </c>
      <c r="N17" s="15" t="str">
        <f t="array" ref="N17">IFERROR(VLOOKUP(T17,Ref_sheet!$A$1:$B$8,2,FALSE))</f>
        <v/>
      </c>
      <c r="O17" s="12">
        <v>28.0</v>
      </c>
      <c r="P17" s="5" t="s">
        <v>58</v>
      </c>
      <c r="Q17" s="5"/>
      <c r="R17" s="5" t="s">
        <v>35</v>
      </c>
      <c r="S17" s="5"/>
      <c r="T17" s="5" t="s">
        <v>46</v>
      </c>
    </row>
    <row r="18">
      <c r="A18" s="25">
        <v>43866.0</v>
      </c>
      <c r="B18" s="28">
        <v>0.6597222222222222</v>
      </c>
      <c r="C18" s="5" t="s">
        <v>59</v>
      </c>
      <c r="D18" s="29">
        <v>43868.0</v>
      </c>
      <c r="E18" s="5">
        <v>50.0</v>
      </c>
      <c r="F18" s="5" t="s">
        <v>32</v>
      </c>
      <c r="G18" s="5">
        <v>53.33</v>
      </c>
      <c r="H18" s="5">
        <v>731.0</v>
      </c>
      <c r="I18" s="5">
        <v>1.2</v>
      </c>
      <c r="J18" s="5" t="s">
        <v>48</v>
      </c>
      <c r="K18" s="5">
        <v>2866.0</v>
      </c>
      <c r="L18" s="5">
        <v>2995.0</v>
      </c>
      <c r="M18" s="30">
        <v>87720.0</v>
      </c>
      <c r="N18" s="15" t="str">
        <f t="array" ref="N18">IFERROR(VLOOKUP(T18,Ref_sheet!$A$1:$B$8,2,FALSE))</f>
        <v/>
      </c>
      <c r="O18" s="12">
        <v>26.0</v>
      </c>
      <c r="P18" s="5" t="s">
        <v>53</v>
      </c>
      <c r="Q18" s="5"/>
      <c r="R18" s="5" t="s">
        <v>35</v>
      </c>
      <c r="S18" s="5"/>
      <c r="T18" s="5" t="s">
        <v>46</v>
      </c>
    </row>
    <row r="19">
      <c r="A19" s="25">
        <v>43866.0</v>
      </c>
      <c r="B19" s="28">
        <v>0.6590277777777778</v>
      </c>
      <c r="C19" s="5" t="s">
        <v>60</v>
      </c>
      <c r="D19" s="29">
        <v>43868.0</v>
      </c>
      <c r="E19" s="5">
        <v>2067.5</v>
      </c>
      <c r="F19" s="5" t="s">
        <v>38</v>
      </c>
      <c r="G19" s="5">
        <v>2044.48</v>
      </c>
      <c r="H19" s="5">
        <v>180.0</v>
      </c>
      <c r="I19" s="5">
        <v>7.73</v>
      </c>
      <c r="J19" s="5" t="s">
        <v>48</v>
      </c>
      <c r="K19" s="5">
        <v>406.0</v>
      </c>
      <c r="L19" s="5">
        <v>97.0</v>
      </c>
      <c r="M19" s="30">
        <v>139140.0</v>
      </c>
      <c r="N19" s="15" t="str">
        <f t="array" ref="N19">IFERROR(VLOOKUP(T19,Ref_sheet!$A$1:$B$8,2,FALSE))</f>
        <v/>
      </c>
      <c r="O19" s="12">
        <v>51.0</v>
      </c>
      <c r="P19" s="5" t="s">
        <v>51</v>
      </c>
      <c r="Q19" s="5"/>
      <c r="R19" s="5" t="s">
        <v>41</v>
      </c>
      <c r="S19" s="5"/>
      <c r="T19" s="5" t="s">
        <v>42</v>
      </c>
    </row>
    <row r="20">
      <c r="A20" s="25">
        <v>43866.0</v>
      </c>
      <c r="B20" s="28">
        <v>0.6576388888888889</v>
      </c>
      <c r="C20" s="5" t="s">
        <v>61</v>
      </c>
      <c r="D20" s="29">
        <v>43882.0</v>
      </c>
      <c r="E20" s="5">
        <v>290.0</v>
      </c>
      <c r="F20" s="5" t="s">
        <v>32</v>
      </c>
      <c r="G20" s="5">
        <v>319.95</v>
      </c>
      <c r="H20" s="5">
        <v>191.0</v>
      </c>
      <c r="I20" s="5">
        <v>4.4</v>
      </c>
      <c r="J20" s="5" t="s">
        <v>39</v>
      </c>
      <c r="K20" s="5">
        <v>693.0</v>
      </c>
      <c r="L20" s="5">
        <v>467.0</v>
      </c>
      <c r="M20" s="30">
        <v>84020.0</v>
      </c>
      <c r="N20" s="15" t="str">
        <f t="array" ref="N20">IFERROR(VLOOKUP(T20,Ref_sheet!$A$1:$B$8,2,FALSE))</f>
        <v/>
      </c>
      <c r="O20" s="12">
        <v>26.0</v>
      </c>
      <c r="P20" s="5" t="s">
        <v>40</v>
      </c>
      <c r="Q20" s="5"/>
      <c r="R20" s="5" t="s">
        <v>35</v>
      </c>
      <c r="S20" s="5"/>
      <c r="T20" s="5" t="s">
        <v>36</v>
      </c>
    </row>
    <row r="21">
      <c r="A21" s="25">
        <v>43866.0</v>
      </c>
      <c r="B21" s="28">
        <v>0.6569444444444444</v>
      </c>
      <c r="C21" s="5" t="s">
        <v>62</v>
      </c>
      <c r="D21" s="29">
        <v>43938.0</v>
      </c>
      <c r="E21" s="5">
        <v>180.0</v>
      </c>
      <c r="F21" s="5" t="s">
        <v>38</v>
      </c>
      <c r="G21" s="5">
        <v>180.26</v>
      </c>
      <c r="H21" s="5">
        <v>2004.0</v>
      </c>
      <c r="I21" s="5">
        <v>7.1</v>
      </c>
      <c r="J21" s="5" t="s">
        <v>39</v>
      </c>
      <c r="K21" s="5">
        <v>11775.0</v>
      </c>
      <c r="L21" s="5">
        <v>12076.0</v>
      </c>
      <c r="M21" s="30">
        <v>1422840.0</v>
      </c>
      <c r="N21" s="15" t="str">
        <f t="array" ref="N21">IFERROR(VLOOKUP(T21,Ref_sheet!$A$1:$B$8,2,FALSE))</f>
        <v/>
      </c>
      <c r="O21" s="12">
        <v>13.0</v>
      </c>
      <c r="P21" s="5" t="s">
        <v>40</v>
      </c>
      <c r="Q21" s="5"/>
      <c r="R21" s="5" t="s">
        <v>41</v>
      </c>
      <c r="S21" s="5"/>
      <c r="T21" s="5" t="s">
        <v>46</v>
      </c>
    </row>
    <row r="22">
      <c r="A22" s="25">
        <v>43866.0</v>
      </c>
      <c r="B22" s="28">
        <v>0.6569444444444444</v>
      </c>
      <c r="C22" s="5" t="s">
        <v>63</v>
      </c>
      <c r="D22" s="29">
        <v>43938.0</v>
      </c>
      <c r="E22" s="5">
        <v>39.0</v>
      </c>
      <c r="F22" s="5" t="s">
        <v>38</v>
      </c>
      <c r="G22" s="5">
        <v>37.6</v>
      </c>
      <c r="H22" s="5">
        <v>766.0</v>
      </c>
      <c r="I22" s="5">
        <v>0.5</v>
      </c>
      <c r="J22" s="5" t="s">
        <v>39</v>
      </c>
      <c r="K22" s="5">
        <v>3645.0</v>
      </c>
      <c r="L22" s="5">
        <v>28528.0</v>
      </c>
      <c r="M22" s="30">
        <v>38300.0</v>
      </c>
      <c r="N22" s="15" t="str">
        <f t="array" ref="N22">IFERROR(VLOOKUP(T22,Ref_sheet!$A$1:$B$8,2,FALSE))</f>
        <v/>
      </c>
      <c r="O22" s="12">
        <v>7.0</v>
      </c>
      <c r="P22" s="5" t="s">
        <v>64</v>
      </c>
      <c r="Q22" s="5"/>
      <c r="R22" s="5" t="s">
        <v>41</v>
      </c>
      <c r="S22" s="5"/>
      <c r="T22" s="5" t="s">
        <v>46</v>
      </c>
    </row>
    <row r="23">
      <c r="A23" s="25">
        <v>43866.0</v>
      </c>
      <c r="B23" s="28">
        <v>0.65625</v>
      </c>
      <c r="C23" s="5" t="s">
        <v>59</v>
      </c>
      <c r="D23" s="29">
        <v>43868.0</v>
      </c>
      <c r="E23" s="5">
        <v>50.0</v>
      </c>
      <c r="F23" s="5" t="s">
        <v>32</v>
      </c>
      <c r="G23" s="5">
        <v>53.28</v>
      </c>
      <c r="H23" s="5">
        <v>1015.0</v>
      </c>
      <c r="I23" s="5">
        <v>1.35</v>
      </c>
      <c r="J23" s="5" t="s">
        <v>48</v>
      </c>
      <c r="K23" s="5">
        <v>2135.0</v>
      </c>
      <c r="L23" s="5">
        <v>2995.0</v>
      </c>
      <c r="M23" s="30">
        <v>137025.0</v>
      </c>
      <c r="N23" s="15" t="str">
        <f t="array" ref="N23">IFERROR(VLOOKUP(T23,Ref_sheet!$A$1:$B$8,2,FALSE))</f>
        <v/>
      </c>
      <c r="O23" s="12">
        <v>35.0</v>
      </c>
      <c r="P23" s="5" t="s">
        <v>53</v>
      </c>
      <c r="Q23" s="5"/>
      <c r="R23" s="5" t="s">
        <v>35</v>
      </c>
      <c r="S23" s="5"/>
      <c r="T23" s="5" t="s">
        <v>46</v>
      </c>
    </row>
    <row r="24">
      <c r="A24" s="25">
        <v>43866.0</v>
      </c>
      <c r="B24" s="28">
        <v>0.6555555555555556</v>
      </c>
      <c r="C24" s="5" t="s">
        <v>49</v>
      </c>
      <c r="D24" s="29">
        <v>43875.0</v>
      </c>
      <c r="E24" s="5">
        <v>223.5</v>
      </c>
      <c r="F24" s="5" t="s">
        <v>32</v>
      </c>
      <c r="G24" s="5">
        <v>228.35</v>
      </c>
      <c r="H24" s="5">
        <v>800.0</v>
      </c>
      <c r="I24" s="5">
        <v>0.99</v>
      </c>
      <c r="J24" s="5" t="s">
        <v>39</v>
      </c>
      <c r="K24" s="5">
        <v>1123.0</v>
      </c>
      <c r="L24" s="5">
        <v>63.0</v>
      </c>
      <c r="M24" s="30">
        <v>79200.0</v>
      </c>
      <c r="N24" s="15" t="str">
        <f t="array" ref="N24">IFERROR(VLOOKUP(T24,Ref_sheet!$A$1:$B$8,2,FALSE))</f>
        <v/>
      </c>
      <c r="O24" s="12">
        <v>52.0</v>
      </c>
      <c r="P24" s="5" t="s">
        <v>34</v>
      </c>
      <c r="Q24" s="5"/>
      <c r="R24" s="5" t="s">
        <v>35</v>
      </c>
      <c r="S24" s="5"/>
      <c r="T24" s="5" t="s">
        <v>42</v>
      </c>
    </row>
    <row r="25">
      <c r="A25" s="25">
        <v>43866.0</v>
      </c>
      <c r="B25" s="28">
        <v>0.6541666666666667</v>
      </c>
      <c r="C25" s="5" t="s">
        <v>65</v>
      </c>
      <c r="D25" s="29">
        <v>43882.0</v>
      </c>
      <c r="E25" s="5">
        <v>75.0</v>
      </c>
      <c r="F25" s="5" t="s">
        <v>38</v>
      </c>
      <c r="G25" s="5">
        <v>68.49</v>
      </c>
      <c r="H25" s="5">
        <v>1308.0</v>
      </c>
      <c r="I25" s="5">
        <v>0.63</v>
      </c>
      <c r="J25" s="5" t="s">
        <v>33</v>
      </c>
      <c r="K25" s="5">
        <v>2507.0</v>
      </c>
      <c r="L25" s="5">
        <v>948.0</v>
      </c>
      <c r="M25" s="30">
        <v>82400.0</v>
      </c>
      <c r="N25" s="15" t="str">
        <f t="array" ref="N25">IFERROR(VLOOKUP(T25,Ref_sheet!$A$1:$B$8,2,FALSE))</f>
        <v/>
      </c>
      <c r="O25" s="12">
        <v>70.0</v>
      </c>
      <c r="P25" s="5" t="s">
        <v>40</v>
      </c>
      <c r="Q25" s="5" t="b">
        <v>1</v>
      </c>
      <c r="R25" s="5" t="s">
        <v>41</v>
      </c>
      <c r="S25" s="5"/>
      <c r="T25" s="5" t="s">
        <v>66</v>
      </c>
    </row>
    <row r="26">
      <c r="A26" s="25">
        <v>43866.0</v>
      </c>
      <c r="B26" s="28">
        <v>0.6534722222222222</v>
      </c>
      <c r="C26" s="5" t="s">
        <v>60</v>
      </c>
      <c r="D26" s="29">
        <v>43868.0</v>
      </c>
      <c r="E26" s="5">
        <v>2055.0</v>
      </c>
      <c r="F26" s="5" t="s">
        <v>38</v>
      </c>
      <c r="G26" s="5">
        <v>2043.59</v>
      </c>
      <c r="H26" s="5">
        <v>56.0</v>
      </c>
      <c r="I26" s="5">
        <v>11.1</v>
      </c>
      <c r="J26" s="5" t="s">
        <v>48</v>
      </c>
      <c r="K26" s="5">
        <v>1476.0</v>
      </c>
      <c r="L26" s="5">
        <v>824.0</v>
      </c>
      <c r="M26" s="30">
        <v>62160.0</v>
      </c>
      <c r="N26" s="15" t="str">
        <f t="array" ref="N26">IFERROR(VLOOKUP(T26,Ref_sheet!$A$1:$B$8,2,FALSE))</f>
        <v/>
      </c>
      <c r="O26" s="12">
        <v>17.0</v>
      </c>
      <c r="P26" s="5" t="s">
        <v>51</v>
      </c>
      <c r="Q26" s="5"/>
      <c r="R26" s="5" t="s">
        <v>41</v>
      </c>
      <c r="S26" s="5"/>
      <c r="T26" s="5" t="s">
        <v>36</v>
      </c>
    </row>
    <row r="27">
      <c r="A27" s="25">
        <v>43866.0</v>
      </c>
      <c r="B27" s="28">
        <v>0.6534722222222222</v>
      </c>
      <c r="C27" s="5" t="s">
        <v>65</v>
      </c>
      <c r="D27" s="29">
        <v>43882.0</v>
      </c>
      <c r="E27" s="5">
        <v>75.0</v>
      </c>
      <c r="F27" s="5" t="s">
        <v>38</v>
      </c>
      <c r="G27" s="5">
        <v>68.58</v>
      </c>
      <c r="H27" s="5">
        <v>1175.0</v>
      </c>
      <c r="I27" s="5">
        <v>0.55</v>
      </c>
      <c r="J27" s="5" t="s">
        <v>39</v>
      </c>
      <c r="K27" s="5">
        <v>1180.0</v>
      </c>
      <c r="L27" s="5">
        <v>948.0</v>
      </c>
      <c r="M27" s="30">
        <v>64625.0</v>
      </c>
      <c r="N27" s="15" t="str">
        <f t="array" ref="N27">IFERROR(VLOOKUP(T27,Ref_sheet!$A$1:$B$8,2,FALSE))</f>
        <v/>
      </c>
      <c r="O27" s="12">
        <v>80.0</v>
      </c>
      <c r="P27" s="5" t="s">
        <v>40</v>
      </c>
      <c r="Q27" s="5" t="b">
        <v>1</v>
      </c>
      <c r="R27" s="5" t="s">
        <v>41</v>
      </c>
      <c r="S27" s="5"/>
      <c r="T27" s="5" t="s">
        <v>66</v>
      </c>
    </row>
    <row r="28">
      <c r="A28" s="25">
        <v>43866.0</v>
      </c>
      <c r="B28" s="28">
        <v>0.6527777777777778</v>
      </c>
      <c r="C28" s="5" t="s">
        <v>67</v>
      </c>
      <c r="D28" s="29">
        <v>43882.0</v>
      </c>
      <c r="E28" s="5">
        <v>41.5</v>
      </c>
      <c r="F28" s="5" t="s">
        <v>38</v>
      </c>
      <c r="G28" s="5">
        <v>37.0</v>
      </c>
      <c r="H28" s="5">
        <v>518.0</v>
      </c>
      <c r="I28" s="5">
        <v>0.63</v>
      </c>
      <c r="J28" s="5" t="s">
        <v>39</v>
      </c>
      <c r="K28" s="5">
        <v>559.0</v>
      </c>
      <c r="L28" s="5">
        <v>320.0</v>
      </c>
      <c r="M28" s="30">
        <v>32634.0</v>
      </c>
      <c r="N28" s="15" t="str">
        <f t="array" ref="N28">IFERROR(VLOOKUP(T28,Ref_sheet!$A$1:$B$8,2,FALSE))</f>
        <v/>
      </c>
      <c r="O28" s="12">
        <v>76.0</v>
      </c>
      <c r="P28" s="5" t="s">
        <v>40</v>
      </c>
      <c r="Q28" s="5" t="b">
        <v>1</v>
      </c>
      <c r="R28" s="5" t="s">
        <v>41</v>
      </c>
      <c r="S28" s="5"/>
      <c r="T28" s="5" t="s">
        <v>66</v>
      </c>
    </row>
    <row r="29">
      <c r="A29" s="25">
        <v>43866.0</v>
      </c>
      <c r="B29" s="28">
        <v>0.6520833333333333</v>
      </c>
      <c r="C29" s="5" t="s">
        <v>68</v>
      </c>
      <c r="D29" s="29">
        <v>43868.0</v>
      </c>
      <c r="E29" s="5">
        <v>4.5</v>
      </c>
      <c r="F29" s="5" t="s">
        <v>32</v>
      </c>
      <c r="G29" s="5">
        <v>4.42</v>
      </c>
      <c r="H29" s="5">
        <v>585.0</v>
      </c>
      <c r="I29" s="5">
        <v>0.27</v>
      </c>
      <c r="J29" s="5" t="s">
        <v>39</v>
      </c>
      <c r="K29" s="5">
        <v>7177.0</v>
      </c>
      <c r="L29" s="5">
        <v>3589.0</v>
      </c>
      <c r="M29" s="30">
        <v>15795.0</v>
      </c>
      <c r="N29" s="15" t="str">
        <f t="array" ref="N29">IFERROR(VLOOKUP(T29,Ref_sheet!$A$1:$B$8,2,FALSE))</f>
        <v/>
      </c>
      <c r="O29" s="12">
        <v>18.0</v>
      </c>
      <c r="P29" s="5" t="s">
        <v>58</v>
      </c>
      <c r="Q29" s="5"/>
      <c r="R29" s="5" t="s">
        <v>35</v>
      </c>
      <c r="S29" s="5"/>
      <c r="T29" s="5" t="s">
        <v>36</v>
      </c>
    </row>
    <row r="30">
      <c r="A30" s="25">
        <v>43866.0</v>
      </c>
      <c r="B30" s="28">
        <v>0.6520833333333333</v>
      </c>
      <c r="C30" s="5" t="s">
        <v>69</v>
      </c>
      <c r="D30" s="29">
        <v>43938.0</v>
      </c>
      <c r="E30" s="5">
        <v>22.5</v>
      </c>
      <c r="F30" s="5" t="s">
        <v>38</v>
      </c>
      <c r="G30" s="5">
        <v>20.97</v>
      </c>
      <c r="H30" s="5">
        <v>500.0</v>
      </c>
      <c r="I30" s="5">
        <v>0.6</v>
      </c>
      <c r="J30" s="5" t="s">
        <v>48</v>
      </c>
      <c r="K30" s="5">
        <v>500.0</v>
      </c>
      <c r="L30" s="5">
        <v>1194.0</v>
      </c>
      <c r="M30" s="30">
        <v>30000.0</v>
      </c>
      <c r="N30" s="15" t="str">
        <f t="array" ref="N30">IFERROR(VLOOKUP(T30,Ref_sheet!$A$1:$B$8,2,FALSE))</f>
        <v/>
      </c>
      <c r="O30" s="12">
        <v>32.0</v>
      </c>
      <c r="P30" s="5" t="s">
        <v>40</v>
      </c>
      <c r="Q30" s="5"/>
      <c r="R30" s="5" t="s">
        <v>41</v>
      </c>
      <c r="S30" s="5"/>
      <c r="T30" s="5" t="s">
        <v>46</v>
      </c>
    </row>
    <row r="31">
      <c r="A31" s="25">
        <v>43866.0</v>
      </c>
      <c r="B31" s="28">
        <v>0.6520833333333333</v>
      </c>
      <c r="C31" s="5" t="s">
        <v>67</v>
      </c>
      <c r="D31" s="29">
        <v>43875.0</v>
      </c>
      <c r="E31" s="5">
        <v>41.0</v>
      </c>
      <c r="F31" s="5" t="s">
        <v>38</v>
      </c>
      <c r="G31" s="5">
        <v>37.01</v>
      </c>
      <c r="H31" s="5">
        <v>2006.0</v>
      </c>
      <c r="I31" s="5">
        <v>0.64</v>
      </c>
      <c r="J31" s="5" t="s">
        <v>39</v>
      </c>
      <c r="K31" s="5">
        <v>2250.0</v>
      </c>
      <c r="L31" s="5">
        <v>1501.0</v>
      </c>
      <c r="M31" s="30">
        <v>128384.0</v>
      </c>
      <c r="N31" s="15" t="str">
        <f t="array" ref="N31">IFERROR(VLOOKUP(T31,Ref_sheet!$A$1:$B$8,2,FALSE))</f>
        <v/>
      </c>
      <c r="O31" s="12">
        <v>83.0</v>
      </c>
      <c r="P31" s="5" t="s">
        <v>40</v>
      </c>
      <c r="Q31" s="5" t="b">
        <v>1</v>
      </c>
      <c r="R31" s="5" t="s">
        <v>41</v>
      </c>
      <c r="S31" s="5"/>
      <c r="T31" s="5" t="s">
        <v>66</v>
      </c>
    </row>
    <row r="32">
      <c r="A32" s="25">
        <v>43866.0</v>
      </c>
      <c r="B32" s="28">
        <v>0.6520833333333333</v>
      </c>
      <c r="C32" s="5" t="s">
        <v>70</v>
      </c>
      <c r="D32" s="29">
        <v>43868.0</v>
      </c>
      <c r="E32" s="5">
        <v>28.0</v>
      </c>
      <c r="F32" s="5" t="s">
        <v>32</v>
      </c>
      <c r="G32" s="5">
        <v>31.94</v>
      </c>
      <c r="H32" s="5">
        <v>532.0</v>
      </c>
      <c r="I32" s="5">
        <v>0.85</v>
      </c>
      <c r="J32" s="5" t="s">
        <v>39</v>
      </c>
      <c r="K32" s="5">
        <v>2238.0</v>
      </c>
      <c r="L32" s="5">
        <v>1070.0</v>
      </c>
      <c r="M32" s="30">
        <v>45220.0</v>
      </c>
      <c r="N32" s="15" t="str">
        <f t="array" ref="N32">IFERROR(VLOOKUP(T32,Ref_sheet!$A$1:$B$8,2,FALSE))</f>
        <v/>
      </c>
      <c r="O32" s="12">
        <v>30.0</v>
      </c>
      <c r="P32" s="5" t="s">
        <v>58</v>
      </c>
      <c r="Q32" s="5"/>
      <c r="R32" s="5" t="s">
        <v>35</v>
      </c>
      <c r="S32" s="5"/>
      <c r="T32" s="5" t="s">
        <v>36</v>
      </c>
    </row>
    <row r="33">
      <c r="A33" s="25">
        <v>43866.0</v>
      </c>
      <c r="B33" s="28">
        <v>0.6506944444444445</v>
      </c>
      <c r="C33" s="5" t="s">
        <v>71</v>
      </c>
      <c r="D33" s="29">
        <v>43875.0</v>
      </c>
      <c r="E33" s="5">
        <v>10.0</v>
      </c>
      <c r="F33" s="5" t="s">
        <v>38</v>
      </c>
      <c r="G33" s="5">
        <v>9.83</v>
      </c>
      <c r="H33" s="5">
        <v>433.0</v>
      </c>
      <c r="I33" s="5">
        <v>0.7</v>
      </c>
      <c r="J33" s="5" t="s">
        <v>39</v>
      </c>
      <c r="K33" s="5">
        <v>768.0</v>
      </c>
      <c r="L33" s="5">
        <v>299.0</v>
      </c>
      <c r="M33" s="30">
        <v>30266.0</v>
      </c>
      <c r="N33" s="15" t="str">
        <f t="array" ref="N33">IFERROR(VLOOKUP(T33,Ref_sheet!$A$1:$B$8,2,FALSE))</f>
        <v/>
      </c>
      <c r="O33" s="12">
        <v>46.0</v>
      </c>
      <c r="P33" s="5" t="s">
        <v>53</v>
      </c>
      <c r="Q33" s="5"/>
      <c r="R33" s="5" t="s">
        <v>41</v>
      </c>
      <c r="S33" s="5"/>
      <c r="T33" s="5" t="s">
        <v>42</v>
      </c>
    </row>
    <row r="34">
      <c r="A34" s="25">
        <v>43866.0</v>
      </c>
      <c r="B34" s="28">
        <v>0.6506944444444445</v>
      </c>
      <c r="C34" s="5" t="s">
        <v>72</v>
      </c>
      <c r="D34" s="29">
        <v>43910.0</v>
      </c>
      <c r="E34" s="5">
        <v>110.0</v>
      </c>
      <c r="F34" s="5" t="s">
        <v>32</v>
      </c>
      <c r="G34" s="5">
        <v>102.83</v>
      </c>
      <c r="H34" s="5">
        <v>863.0</v>
      </c>
      <c r="I34" s="5">
        <v>14.8</v>
      </c>
      <c r="J34" s="5" t="s">
        <v>48</v>
      </c>
      <c r="K34" s="5">
        <v>1001.0</v>
      </c>
      <c r="L34" s="5">
        <v>2114.0</v>
      </c>
      <c r="M34" s="30">
        <v>1277240.0</v>
      </c>
      <c r="N34" s="15" t="str">
        <f t="array" ref="N34">IFERROR(VLOOKUP(T34,Ref_sheet!$A$1:$B$8,2,FALSE))</f>
        <v/>
      </c>
      <c r="O34" s="12">
        <v>36.0</v>
      </c>
      <c r="P34" s="5" t="s">
        <v>58</v>
      </c>
      <c r="Q34" s="5"/>
      <c r="R34" s="5" t="s">
        <v>35</v>
      </c>
      <c r="S34" s="5"/>
      <c r="T34" s="5" t="s">
        <v>46</v>
      </c>
    </row>
    <row r="35">
      <c r="A35" s="25">
        <v>43866.0</v>
      </c>
      <c r="B35" s="28">
        <v>0.6506944444444445</v>
      </c>
      <c r="C35" s="5" t="s">
        <v>73</v>
      </c>
      <c r="D35" s="29">
        <v>44001.0</v>
      </c>
      <c r="E35" s="5">
        <v>17.0</v>
      </c>
      <c r="F35" s="5" t="s">
        <v>38</v>
      </c>
      <c r="G35" s="5">
        <v>18.08</v>
      </c>
      <c r="H35" s="5">
        <v>888.0</v>
      </c>
      <c r="I35" s="5">
        <v>2.25</v>
      </c>
      <c r="J35" s="5" t="s">
        <v>39</v>
      </c>
      <c r="K35" s="5">
        <v>895.0</v>
      </c>
      <c r="L35" s="5">
        <v>69.0</v>
      </c>
      <c r="M35" s="30">
        <v>199800.0</v>
      </c>
      <c r="N35" s="15" t="str">
        <f t="array" ref="N35">IFERROR(VLOOKUP(T35,Ref_sheet!$A$1:$B$8,2,FALSE))</f>
        <v/>
      </c>
      <c r="O35" s="12">
        <v>74.0</v>
      </c>
      <c r="P35" s="5" t="s">
        <v>34</v>
      </c>
      <c r="Q35" s="5"/>
      <c r="R35" s="5" t="s">
        <v>41</v>
      </c>
      <c r="S35" s="5"/>
      <c r="T35" s="5" t="s">
        <v>42</v>
      </c>
    </row>
    <row r="36">
      <c r="A36" s="25">
        <v>43866.0</v>
      </c>
      <c r="B36" s="28">
        <v>0.65</v>
      </c>
      <c r="C36" s="5" t="s">
        <v>74</v>
      </c>
      <c r="D36" s="29">
        <v>43882.0</v>
      </c>
      <c r="E36" s="5">
        <v>15.0</v>
      </c>
      <c r="F36" s="5" t="s">
        <v>38</v>
      </c>
      <c r="G36" s="5">
        <v>14.55</v>
      </c>
      <c r="H36" s="5">
        <v>976.0</v>
      </c>
      <c r="I36" s="5">
        <v>0.65</v>
      </c>
      <c r="J36" s="5" t="s">
        <v>39</v>
      </c>
      <c r="K36" s="5">
        <v>6852.0</v>
      </c>
      <c r="L36" s="5">
        <v>2679.0</v>
      </c>
      <c r="M36" s="30">
        <v>63408.0</v>
      </c>
      <c r="N36" s="15" t="str">
        <f t="array" ref="N36">IFERROR(VLOOKUP(T36,Ref_sheet!$A$1:$B$8,2,FALSE))</f>
        <v/>
      </c>
      <c r="O36" s="12">
        <v>22.0</v>
      </c>
      <c r="P36" s="5" t="s">
        <v>58</v>
      </c>
      <c r="Q36" s="5"/>
      <c r="R36" s="5" t="s">
        <v>41</v>
      </c>
      <c r="S36" s="5"/>
      <c r="T36" s="5" t="s">
        <v>36</v>
      </c>
    </row>
    <row r="37">
      <c r="A37" s="25">
        <v>43866.0</v>
      </c>
      <c r="B37" s="28">
        <v>0.65</v>
      </c>
      <c r="C37" s="5" t="s">
        <v>75</v>
      </c>
      <c r="D37" s="29">
        <v>43938.0</v>
      </c>
      <c r="E37" s="5">
        <v>65.0</v>
      </c>
      <c r="F37" s="5" t="s">
        <v>38</v>
      </c>
      <c r="G37" s="5">
        <v>61.05</v>
      </c>
      <c r="H37" s="5">
        <v>1205.0</v>
      </c>
      <c r="I37" s="5">
        <v>0.45</v>
      </c>
      <c r="J37" s="5" t="s">
        <v>39</v>
      </c>
      <c r="K37" s="5">
        <v>1226.0</v>
      </c>
      <c r="L37" s="5">
        <v>7310.0</v>
      </c>
      <c r="M37" s="30">
        <v>54218.0</v>
      </c>
      <c r="N37" s="15" t="str">
        <f t="array" ref="N37">IFERROR(VLOOKUP(T37,Ref_sheet!$A$1:$B$8,2,FALSE))</f>
        <v/>
      </c>
      <c r="O37" s="12">
        <v>27.0</v>
      </c>
      <c r="P37" s="5" t="s">
        <v>64</v>
      </c>
      <c r="Q37" s="5"/>
      <c r="R37" s="5" t="s">
        <v>41</v>
      </c>
      <c r="S37" s="5"/>
      <c r="T37" s="5" t="s">
        <v>46</v>
      </c>
    </row>
    <row r="38">
      <c r="A38" s="25">
        <v>43866.0</v>
      </c>
      <c r="B38" s="28">
        <v>0.65</v>
      </c>
      <c r="C38" s="5" t="s">
        <v>76</v>
      </c>
      <c r="D38" s="29">
        <v>44211.0</v>
      </c>
      <c r="E38" s="5">
        <v>70.0</v>
      </c>
      <c r="F38" s="5" t="s">
        <v>38</v>
      </c>
      <c r="G38" s="5">
        <v>67.31</v>
      </c>
      <c r="H38" s="5">
        <v>500.0</v>
      </c>
      <c r="I38" s="5">
        <v>5.4</v>
      </c>
      <c r="J38" s="5" t="s">
        <v>39</v>
      </c>
      <c r="K38" s="5">
        <v>778.0</v>
      </c>
      <c r="L38" s="5">
        <v>15443.0</v>
      </c>
      <c r="M38" s="30">
        <v>270000.0</v>
      </c>
      <c r="N38" s="15" t="str">
        <f t="array" ref="N38">IFERROR(VLOOKUP(T38,Ref_sheet!$A$1:$B$8,2,FALSE))</f>
        <v/>
      </c>
      <c r="O38" s="12">
        <v>19.0</v>
      </c>
      <c r="P38" s="5" t="s">
        <v>40</v>
      </c>
      <c r="Q38" s="5"/>
      <c r="R38" s="5" t="s">
        <v>41</v>
      </c>
      <c r="S38" s="5"/>
      <c r="T38" s="5" t="s">
        <v>46</v>
      </c>
    </row>
    <row r="39">
      <c r="A39" s="25">
        <v>43866.0</v>
      </c>
      <c r="B39" s="28">
        <v>0.6493055555555556</v>
      </c>
      <c r="C39" s="5" t="s">
        <v>77</v>
      </c>
      <c r="D39" s="29">
        <v>43882.0</v>
      </c>
      <c r="E39" s="5">
        <v>120.0</v>
      </c>
      <c r="F39" s="5" t="s">
        <v>32</v>
      </c>
      <c r="G39" s="5">
        <v>121.94</v>
      </c>
      <c r="H39" s="5">
        <v>857.0</v>
      </c>
      <c r="I39" s="5">
        <v>1.55</v>
      </c>
      <c r="J39" s="5" t="s">
        <v>39</v>
      </c>
      <c r="K39" s="5">
        <v>919.0</v>
      </c>
      <c r="L39" s="5">
        <v>836.0</v>
      </c>
      <c r="M39" s="30">
        <v>132835.0</v>
      </c>
      <c r="N39" s="15" t="str">
        <f t="array" ref="N39">IFERROR(VLOOKUP(T39,Ref_sheet!$A$1:$B$8,2,FALSE))</f>
        <v/>
      </c>
      <c r="O39" s="12">
        <v>56.0</v>
      </c>
      <c r="P39" s="5" t="s">
        <v>34</v>
      </c>
      <c r="Q39" s="5"/>
      <c r="R39" s="5" t="s">
        <v>35</v>
      </c>
      <c r="S39" s="5"/>
      <c r="T39" s="5" t="s">
        <v>42</v>
      </c>
    </row>
    <row r="40">
      <c r="A40" s="25">
        <v>43866.0</v>
      </c>
      <c r="B40" s="28">
        <v>0.6486111111111111</v>
      </c>
      <c r="C40" s="5" t="s">
        <v>78</v>
      </c>
      <c r="D40" s="29">
        <v>43882.0</v>
      </c>
      <c r="E40" s="5">
        <v>20.0</v>
      </c>
      <c r="F40" s="5" t="s">
        <v>38</v>
      </c>
      <c r="G40" s="5">
        <v>20.43</v>
      </c>
      <c r="H40" s="5">
        <v>5000.0</v>
      </c>
      <c r="I40" s="5">
        <v>0.95</v>
      </c>
      <c r="J40" s="5" t="s">
        <v>48</v>
      </c>
      <c r="K40" s="5">
        <v>5006.0</v>
      </c>
      <c r="L40" s="5">
        <v>912.0</v>
      </c>
      <c r="M40" s="30">
        <v>475000.0</v>
      </c>
      <c r="N40" s="15" t="str">
        <f t="array" ref="N40">IFERROR(VLOOKUP(T40,Ref_sheet!$A$1:$B$8,2,FALSE))</f>
        <v/>
      </c>
      <c r="O40" s="12">
        <v>60.0</v>
      </c>
      <c r="P40" s="5" t="s">
        <v>45</v>
      </c>
      <c r="Q40" s="5"/>
      <c r="R40" s="5" t="s">
        <v>41</v>
      </c>
      <c r="S40" s="5"/>
      <c r="T40" s="5" t="s">
        <v>42</v>
      </c>
    </row>
    <row r="41">
      <c r="A41" s="25">
        <v>43866.0</v>
      </c>
      <c r="B41" s="28">
        <v>0.6486111111111111</v>
      </c>
      <c r="C41" s="5" t="s">
        <v>44</v>
      </c>
      <c r="D41" s="29">
        <v>43938.0</v>
      </c>
      <c r="E41" s="5">
        <v>14.0</v>
      </c>
      <c r="F41" s="5" t="s">
        <v>38</v>
      </c>
      <c r="G41" s="5">
        <v>12.36</v>
      </c>
      <c r="H41" s="5">
        <v>1393.0</v>
      </c>
      <c r="I41" s="5">
        <v>0.35</v>
      </c>
      <c r="J41" s="5" t="s">
        <v>39</v>
      </c>
      <c r="K41" s="5">
        <v>3968.0</v>
      </c>
      <c r="L41" s="5">
        <v>7827.0</v>
      </c>
      <c r="M41" s="30">
        <v>48755.0</v>
      </c>
      <c r="N41" s="15" t="str">
        <f t="array" ref="N41">IFERROR(VLOOKUP(T41,Ref_sheet!$A$1:$B$8,2,FALSE))</f>
        <v/>
      </c>
      <c r="O41" s="12">
        <v>13.0</v>
      </c>
      <c r="P41" s="5" t="s">
        <v>45</v>
      </c>
      <c r="Q41" s="5"/>
      <c r="R41" s="5" t="s">
        <v>41</v>
      </c>
      <c r="S41" s="5"/>
      <c r="T41" s="5" t="s">
        <v>46</v>
      </c>
    </row>
    <row r="42">
      <c r="A42" s="25">
        <v>43866.0</v>
      </c>
      <c r="B42" s="28">
        <v>0.6472222222222223</v>
      </c>
      <c r="C42" s="5" t="s">
        <v>49</v>
      </c>
      <c r="D42" s="29">
        <v>43882.0</v>
      </c>
      <c r="E42" s="5">
        <v>232.0</v>
      </c>
      <c r="F42" s="5" t="s">
        <v>38</v>
      </c>
      <c r="G42" s="5">
        <v>228.16</v>
      </c>
      <c r="H42" s="5">
        <v>10000.0</v>
      </c>
      <c r="I42" s="5">
        <v>1.29</v>
      </c>
      <c r="J42" s="5" t="s">
        <v>48</v>
      </c>
      <c r="K42" s="5">
        <v>14127.0</v>
      </c>
      <c r="L42" s="5">
        <v>5468.0</v>
      </c>
      <c r="M42" s="30">
        <v>1290000.0</v>
      </c>
      <c r="N42" s="15" t="str">
        <f t="array" ref="N42">IFERROR(VLOOKUP(T42,Ref_sheet!$A$1:$B$8,2,FALSE))</f>
        <v/>
      </c>
      <c r="O42" s="12">
        <v>54.0</v>
      </c>
      <c r="P42" s="5" t="s">
        <v>34</v>
      </c>
      <c r="Q42" s="5"/>
      <c r="R42" s="5" t="s">
        <v>41</v>
      </c>
      <c r="S42" s="5"/>
      <c r="T42" s="5" t="s">
        <v>42</v>
      </c>
    </row>
    <row r="43">
      <c r="A43" s="25">
        <v>43866.0</v>
      </c>
      <c r="B43" s="28">
        <v>0.6458333333333334</v>
      </c>
      <c r="C43" s="5" t="s">
        <v>87</v>
      </c>
      <c r="D43" s="29">
        <v>43875.0</v>
      </c>
      <c r="E43" s="5">
        <v>13.5</v>
      </c>
      <c r="F43" s="5" t="s">
        <v>38</v>
      </c>
      <c r="G43" s="5">
        <v>14.11</v>
      </c>
      <c r="H43" s="5">
        <v>947.0</v>
      </c>
      <c r="I43" s="5">
        <v>1.2</v>
      </c>
      <c r="J43" s="5" t="s">
        <v>39</v>
      </c>
      <c r="K43" s="5">
        <v>947.0</v>
      </c>
      <c r="L43" s="5">
        <v>33.0</v>
      </c>
      <c r="M43" s="30">
        <v>113640.0</v>
      </c>
      <c r="N43" s="15" t="str">
        <f t="array" ref="N43">IFERROR(VLOOKUP(T43,Ref_sheet!$A$1:$B$8,2,FALSE))</f>
        <v/>
      </c>
      <c r="O43" s="12">
        <v>60.0</v>
      </c>
      <c r="P43" s="5" t="s">
        <v>58</v>
      </c>
      <c r="Q43" s="5"/>
      <c r="R43" s="5" t="s">
        <v>41</v>
      </c>
      <c r="S43" s="5"/>
      <c r="T43" s="5" t="s">
        <v>42</v>
      </c>
    </row>
    <row r="44">
      <c r="A44" s="25">
        <v>43866.0</v>
      </c>
      <c r="B44" s="28">
        <v>0.6444444444444445</v>
      </c>
      <c r="C44" s="5" t="s">
        <v>159</v>
      </c>
      <c r="D44" s="29">
        <v>43910.0</v>
      </c>
      <c r="E44" s="5">
        <v>52.5</v>
      </c>
      <c r="F44" s="5" t="s">
        <v>38</v>
      </c>
      <c r="G44" s="5">
        <v>52.36</v>
      </c>
      <c r="H44" s="5">
        <v>736.0</v>
      </c>
      <c r="I44" s="5">
        <v>1.97</v>
      </c>
      <c r="J44" s="5" t="s">
        <v>39</v>
      </c>
      <c r="K44" s="5">
        <v>1266.0</v>
      </c>
      <c r="L44" s="5">
        <v>1752.0</v>
      </c>
      <c r="M44" s="30">
        <v>144713.0</v>
      </c>
      <c r="N44" s="15" t="str">
        <f t="array" ref="N44">IFERROR(VLOOKUP(T44,Ref_sheet!$A$1:$B$8,2,FALSE))</f>
        <v/>
      </c>
      <c r="O44" s="12">
        <v>29.0</v>
      </c>
      <c r="P44" s="5" t="s">
        <v>162</v>
      </c>
      <c r="Q44" s="5"/>
      <c r="R44" s="5" t="s">
        <v>41</v>
      </c>
      <c r="S44" s="5"/>
      <c r="T44" s="5" t="s">
        <v>46</v>
      </c>
    </row>
    <row r="45">
      <c r="A45" s="25">
        <v>43866.0</v>
      </c>
      <c r="B45" s="28">
        <v>0.64375</v>
      </c>
      <c r="C45" s="5" t="s">
        <v>49</v>
      </c>
      <c r="D45" s="29">
        <v>43910.0</v>
      </c>
      <c r="E45" s="5">
        <v>230.0</v>
      </c>
      <c r="F45" s="5" t="s">
        <v>38</v>
      </c>
      <c r="G45" s="5">
        <v>228.33</v>
      </c>
      <c r="H45" s="5">
        <v>2500.0</v>
      </c>
      <c r="I45" s="5">
        <v>4.57</v>
      </c>
      <c r="J45" s="5" t="s">
        <v>48</v>
      </c>
      <c r="K45" s="5">
        <v>3943.0</v>
      </c>
      <c r="L45" s="5">
        <v>22494.0</v>
      </c>
      <c r="M45" s="30">
        <v>1142500.0</v>
      </c>
      <c r="N45" s="15" t="str">
        <f t="array" ref="N45">IFERROR(VLOOKUP(T45,Ref_sheet!$A$1:$B$8,2,FALSE))</f>
        <v/>
      </c>
      <c r="O45" s="12">
        <v>24.0</v>
      </c>
      <c r="P45" s="5" t="s">
        <v>34</v>
      </c>
      <c r="Q45" s="5"/>
      <c r="R45" s="5" t="s">
        <v>41</v>
      </c>
      <c r="S45" s="5"/>
      <c r="T45" s="5" t="s">
        <v>46</v>
      </c>
    </row>
    <row r="46">
      <c r="A46" s="25">
        <v>43866.0</v>
      </c>
      <c r="B46" s="28">
        <v>0.64375</v>
      </c>
      <c r="C46" s="5" t="s">
        <v>166</v>
      </c>
      <c r="D46" s="29">
        <v>43875.0</v>
      </c>
      <c r="E46" s="5">
        <v>16.0</v>
      </c>
      <c r="F46" s="5" t="s">
        <v>38</v>
      </c>
      <c r="G46" s="5">
        <v>15.82</v>
      </c>
      <c r="H46" s="5">
        <v>1202.0</v>
      </c>
      <c r="I46" s="5">
        <v>0.47</v>
      </c>
      <c r="J46" s="5" t="s">
        <v>48</v>
      </c>
      <c r="K46" s="5">
        <v>2572.0</v>
      </c>
      <c r="L46" s="5">
        <v>257.0</v>
      </c>
      <c r="M46" s="30">
        <v>56494.0</v>
      </c>
      <c r="N46" s="15" t="str">
        <f t="array" ref="N46">IFERROR(VLOOKUP(T46,Ref_sheet!$A$1:$B$8,2,FALSE))</f>
        <v/>
      </c>
      <c r="O46" s="12">
        <v>47.0</v>
      </c>
      <c r="P46" s="5" t="s">
        <v>45</v>
      </c>
      <c r="Q46" s="5"/>
      <c r="R46" s="5" t="s">
        <v>41</v>
      </c>
      <c r="S46" s="5"/>
      <c r="T46" s="5" t="s">
        <v>42</v>
      </c>
    </row>
    <row r="47">
      <c r="A47" s="25">
        <v>43866.0</v>
      </c>
      <c r="B47" s="28">
        <v>0.6430555555555556</v>
      </c>
      <c r="C47" s="5" t="s">
        <v>166</v>
      </c>
      <c r="D47" s="29">
        <v>43875.0</v>
      </c>
      <c r="E47" s="5">
        <v>16.0</v>
      </c>
      <c r="F47" s="5" t="s">
        <v>38</v>
      </c>
      <c r="G47" s="5">
        <v>15.81</v>
      </c>
      <c r="H47" s="5">
        <v>957.0</v>
      </c>
      <c r="I47" s="5">
        <v>0.47</v>
      </c>
      <c r="J47" s="5" t="s">
        <v>39</v>
      </c>
      <c r="K47" s="5">
        <v>1370.0</v>
      </c>
      <c r="L47" s="5">
        <v>257.0</v>
      </c>
      <c r="M47" s="30">
        <v>44979.0</v>
      </c>
      <c r="N47" s="15" t="str">
        <f t="array" ref="N47">IFERROR(VLOOKUP(T47,Ref_sheet!$A$1:$B$8,2,FALSE))</f>
        <v/>
      </c>
      <c r="O47" s="12">
        <v>49.0</v>
      </c>
      <c r="P47" s="5" t="s">
        <v>45</v>
      </c>
      <c r="Q47" s="5"/>
      <c r="R47" s="5" t="s">
        <v>41</v>
      </c>
      <c r="S47" s="5"/>
      <c r="T47" s="5" t="s">
        <v>42</v>
      </c>
    </row>
    <row r="48">
      <c r="A48" s="25">
        <v>43866.0</v>
      </c>
      <c r="B48" s="28">
        <v>0.6423611111111112</v>
      </c>
      <c r="C48" s="5" t="s">
        <v>173</v>
      </c>
      <c r="D48" s="29">
        <v>43910.0</v>
      </c>
      <c r="E48" s="5">
        <v>49.0</v>
      </c>
      <c r="F48" s="5" t="s">
        <v>38</v>
      </c>
      <c r="G48" s="5">
        <v>48.25</v>
      </c>
      <c r="H48" s="5">
        <v>4389.0</v>
      </c>
      <c r="I48" s="5">
        <v>1.35</v>
      </c>
      <c r="J48" s="5" t="s">
        <v>39</v>
      </c>
      <c r="K48" s="5">
        <v>4434.0</v>
      </c>
      <c r="L48" s="5">
        <v>2097.0</v>
      </c>
      <c r="M48" s="30">
        <v>592491.0</v>
      </c>
      <c r="N48" s="15" t="str">
        <f t="array" ref="N48">IFERROR(VLOOKUP(T48,Ref_sheet!$A$1:$B$8,2,FALSE))</f>
        <v/>
      </c>
      <c r="O48" s="12">
        <v>54.0</v>
      </c>
      <c r="P48" s="5" t="s">
        <v>162</v>
      </c>
      <c r="Q48" s="5"/>
      <c r="R48" s="5" t="s">
        <v>41</v>
      </c>
      <c r="S48" s="5"/>
      <c r="T48" s="5" t="s">
        <v>42</v>
      </c>
    </row>
    <row r="49">
      <c r="A49" s="25">
        <v>43866.0</v>
      </c>
      <c r="B49" s="28">
        <v>0.6416666666666667</v>
      </c>
      <c r="C49" s="5" t="s">
        <v>174</v>
      </c>
      <c r="D49" s="29">
        <v>43910.0</v>
      </c>
      <c r="E49" s="5">
        <v>22.0</v>
      </c>
      <c r="F49" s="5" t="s">
        <v>38</v>
      </c>
      <c r="G49" s="5">
        <v>18.48</v>
      </c>
      <c r="H49" s="5">
        <v>500.0</v>
      </c>
      <c r="I49" s="5">
        <v>0.45</v>
      </c>
      <c r="J49" s="5" t="s">
        <v>48</v>
      </c>
      <c r="K49" s="5">
        <v>503.0</v>
      </c>
      <c r="L49" s="5">
        <v>89.0</v>
      </c>
      <c r="M49" s="30">
        <v>22500.0</v>
      </c>
      <c r="N49" s="15" t="str">
        <f t="array" ref="N49">IFERROR(VLOOKUP(T49,Ref_sheet!$A$1:$B$8,2,FALSE))</f>
        <v/>
      </c>
      <c r="O49" s="12">
        <v>48.0</v>
      </c>
      <c r="P49" s="5" t="s">
        <v>53</v>
      </c>
      <c r="Q49" s="5"/>
      <c r="R49" s="5" t="s">
        <v>41</v>
      </c>
      <c r="S49" s="5"/>
      <c r="T49" s="5" t="s">
        <v>42</v>
      </c>
    </row>
    <row r="50">
      <c r="A50" s="25">
        <v>43866.0</v>
      </c>
      <c r="B50" s="28">
        <v>0.6416666666666667</v>
      </c>
      <c r="C50" s="5" t="s">
        <v>177</v>
      </c>
      <c r="D50" s="29">
        <v>43868.0</v>
      </c>
      <c r="E50" s="5">
        <v>92.0</v>
      </c>
      <c r="F50" s="5" t="s">
        <v>38</v>
      </c>
      <c r="G50" s="5">
        <v>90.99</v>
      </c>
      <c r="H50" s="5">
        <v>527.0</v>
      </c>
      <c r="I50" s="5">
        <v>2.0</v>
      </c>
      <c r="J50" s="5" t="s">
        <v>33</v>
      </c>
      <c r="K50" s="5">
        <v>2382.0</v>
      </c>
      <c r="L50" s="5">
        <v>1552.0</v>
      </c>
      <c r="M50" s="30">
        <v>105400.0</v>
      </c>
      <c r="N50" s="15" t="str">
        <f t="array" ref="N50">IFERROR(VLOOKUP(T50,Ref_sheet!$A$1:$B$8,2,FALSE))</f>
        <v/>
      </c>
      <c r="O50" s="12">
        <v>30.0</v>
      </c>
      <c r="P50" s="5" t="s">
        <v>40</v>
      </c>
      <c r="Q50" s="5"/>
      <c r="R50" s="5" t="s">
        <v>41</v>
      </c>
      <c r="S50" s="5"/>
      <c r="T50" s="5" t="s">
        <v>36</v>
      </c>
    </row>
    <row r="51">
      <c r="A51" s="25">
        <v>43866.0</v>
      </c>
      <c r="B51" s="28">
        <v>0.6402777777777777</v>
      </c>
      <c r="C51" s="5" t="s">
        <v>180</v>
      </c>
      <c r="D51" s="29">
        <v>44211.0</v>
      </c>
      <c r="E51" s="5">
        <v>30.0</v>
      </c>
      <c r="F51" s="5" t="s">
        <v>38</v>
      </c>
      <c r="G51" s="5">
        <v>18.61</v>
      </c>
      <c r="H51" s="5">
        <v>165.0</v>
      </c>
      <c r="I51" s="5">
        <v>2.5</v>
      </c>
      <c r="J51" s="5" t="s">
        <v>39</v>
      </c>
      <c r="K51" s="5">
        <v>6996.0</v>
      </c>
      <c r="L51" s="5">
        <v>2763.0</v>
      </c>
      <c r="M51" s="30">
        <v>41250.0</v>
      </c>
      <c r="N51" s="15" t="str">
        <f t="array" ref="N51">IFERROR(VLOOKUP(T51,Ref_sheet!$A$1:$B$8,2,FALSE))</f>
        <v/>
      </c>
      <c r="O51" s="12">
        <v>4.0</v>
      </c>
      <c r="P51" s="5" t="s">
        <v>182</v>
      </c>
      <c r="Q51" s="5"/>
      <c r="R51" s="5" t="s">
        <v>41</v>
      </c>
      <c r="S51" s="5"/>
      <c r="T51" s="5" t="s">
        <v>36</v>
      </c>
    </row>
    <row r="52">
      <c r="A52" s="25">
        <v>43866.0</v>
      </c>
      <c r="B52" s="28">
        <v>0.6368055555555555</v>
      </c>
      <c r="C52" s="5" t="s">
        <v>183</v>
      </c>
      <c r="D52" s="29">
        <v>43882.0</v>
      </c>
      <c r="E52" s="5">
        <v>31.0</v>
      </c>
      <c r="F52" s="5" t="s">
        <v>38</v>
      </c>
      <c r="G52" s="5">
        <v>29.04</v>
      </c>
      <c r="H52" s="5">
        <v>629.0</v>
      </c>
      <c r="I52" s="5">
        <v>0.2</v>
      </c>
      <c r="J52" s="5" t="s">
        <v>39</v>
      </c>
      <c r="K52" s="5">
        <v>629.0</v>
      </c>
      <c r="L52" s="5">
        <v>520.0</v>
      </c>
      <c r="M52" s="30">
        <v>12580.0</v>
      </c>
      <c r="N52" s="15" t="str">
        <f t="array" ref="N52">IFERROR(VLOOKUP(T52,Ref_sheet!$A$1:$B$8,2,FALSE))</f>
        <v/>
      </c>
      <c r="O52" s="12">
        <v>53.0</v>
      </c>
      <c r="P52" s="5" t="s">
        <v>182</v>
      </c>
      <c r="Q52" s="5"/>
      <c r="R52" s="5" t="s">
        <v>41</v>
      </c>
      <c r="S52" s="5"/>
      <c r="T52" s="5" t="s">
        <v>42</v>
      </c>
    </row>
    <row r="53">
      <c r="A53" s="25">
        <v>43866.0</v>
      </c>
      <c r="B53" s="28">
        <v>0.6368055555555555</v>
      </c>
      <c r="C53" s="5" t="s">
        <v>49</v>
      </c>
      <c r="D53" s="29">
        <v>43896.0</v>
      </c>
      <c r="E53" s="5">
        <v>222.5</v>
      </c>
      <c r="F53" s="5" t="s">
        <v>32</v>
      </c>
      <c r="G53" s="5">
        <v>228.55</v>
      </c>
      <c r="H53" s="5">
        <v>2507.0</v>
      </c>
      <c r="I53" s="5">
        <v>2.41</v>
      </c>
      <c r="J53" s="5" t="s">
        <v>39</v>
      </c>
      <c r="K53" s="5">
        <v>2626.0</v>
      </c>
      <c r="L53" s="5">
        <v>851.0</v>
      </c>
      <c r="M53" s="30">
        <v>604254.0</v>
      </c>
      <c r="N53" s="15" t="str">
        <f t="array" ref="N53">IFERROR(VLOOKUP(T53,Ref_sheet!$A$1:$B$8,2,FALSE))</f>
        <v/>
      </c>
      <c r="O53" s="12">
        <v>57.0</v>
      </c>
      <c r="P53" s="5" t="s">
        <v>34</v>
      </c>
      <c r="Q53" s="5"/>
      <c r="R53" s="5" t="s">
        <v>35</v>
      </c>
      <c r="S53" s="5"/>
      <c r="T53" s="5" t="s">
        <v>42</v>
      </c>
    </row>
    <row r="54">
      <c r="A54" s="25">
        <v>43866.0</v>
      </c>
      <c r="B54" s="28">
        <v>0.6368055555555555</v>
      </c>
      <c r="C54" s="5" t="s">
        <v>145</v>
      </c>
      <c r="D54" s="29">
        <v>43896.0</v>
      </c>
      <c r="E54" s="5">
        <v>12.5</v>
      </c>
      <c r="F54" s="5" t="s">
        <v>32</v>
      </c>
      <c r="G54" s="5">
        <v>12.8</v>
      </c>
      <c r="H54" s="5">
        <v>876.0</v>
      </c>
      <c r="I54" s="5">
        <v>0.31</v>
      </c>
      <c r="J54" s="5" t="s">
        <v>39</v>
      </c>
      <c r="K54" s="5">
        <v>1436.0</v>
      </c>
      <c r="L54" s="5">
        <v>390.0</v>
      </c>
      <c r="M54" s="30">
        <v>27156.0</v>
      </c>
      <c r="N54" s="15" t="str">
        <f t="array" ref="N54">IFERROR(VLOOKUP(T54,Ref_sheet!$A$1:$B$8,2,FALSE))</f>
        <v/>
      </c>
      <c r="O54" s="12">
        <v>42.0</v>
      </c>
      <c r="P54" s="5" t="s">
        <v>182</v>
      </c>
      <c r="Q54" s="5"/>
      <c r="R54" s="5" t="s">
        <v>35</v>
      </c>
      <c r="S54" s="5"/>
      <c r="T54" s="5" t="s">
        <v>42</v>
      </c>
    </row>
    <row r="55">
      <c r="A55" s="25">
        <v>43866.0</v>
      </c>
      <c r="B55" s="28">
        <v>0.6361111111111111</v>
      </c>
      <c r="C55" s="5" t="s">
        <v>195</v>
      </c>
      <c r="D55" s="29">
        <v>43910.0</v>
      </c>
      <c r="E55" s="5">
        <v>65.0</v>
      </c>
      <c r="F55" s="5" t="s">
        <v>38</v>
      </c>
      <c r="G55" s="5">
        <v>64.42</v>
      </c>
      <c r="H55" s="5">
        <v>620.0</v>
      </c>
      <c r="I55" s="5">
        <v>1.65</v>
      </c>
      <c r="J55" s="5" t="s">
        <v>39</v>
      </c>
      <c r="K55" s="5">
        <v>1181.0</v>
      </c>
      <c r="L55" s="5">
        <v>369.0</v>
      </c>
      <c r="M55" s="30">
        <v>102290.0</v>
      </c>
      <c r="N55" s="15" t="str">
        <f t="array" ref="N55">IFERROR(VLOOKUP(T55,Ref_sheet!$A$1:$B$8,2,FALSE))</f>
        <v/>
      </c>
      <c r="O55" s="12">
        <v>42.0</v>
      </c>
      <c r="P55" s="5" t="s">
        <v>53</v>
      </c>
      <c r="Q55" s="5"/>
      <c r="R55" s="5" t="s">
        <v>41</v>
      </c>
      <c r="S55" s="5"/>
      <c r="T55" s="5" t="s">
        <v>42</v>
      </c>
    </row>
    <row r="56">
      <c r="A56" s="25">
        <v>43866.0</v>
      </c>
      <c r="B56" s="28">
        <v>0.6354166666666666</v>
      </c>
      <c r="C56" s="5" t="s">
        <v>197</v>
      </c>
      <c r="D56" s="29">
        <v>43910.0</v>
      </c>
      <c r="E56" s="5">
        <v>2.5</v>
      </c>
      <c r="F56" s="5" t="s">
        <v>38</v>
      </c>
      <c r="G56" s="5">
        <v>3.06</v>
      </c>
      <c r="H56" s="5">
        <v>550.0</v>
      </c>
      <c r="I56" s="5">
        <v>1.0</v>
      </c>
      <c r="J56" s="5" t="s">
        <v>39</v>
      </c>
      <c r="K56" s="5">
        <v>1078.0</v>
      </c>
      <c r="L56" s="5">
        <v>5946.0</v>
      </c>
      <c r="M56" s="30">
        <v>55000.0</v>
      </c>
      <c r="N56" s="15" t="str">
        <f t="array" ref="N56">IFERROR(VLOOKUP(T56,Ref_sheet!$A$1:$B$8,2,FALSE))</f>
        <v/>
      </c>
      <c r="O56" s="12">
        <v>18.0</v>
      </c>
      <c r="P56" s="5" t="s">
        <v>51</v>
      </c>
      <c r="Q56" s="5"/>
      <c r="R56" s="5" t="s">
        <v>41</v>
      </c>
      <c r="S56" s="5"/>
      <c r="T56" s="5" t="s">
        <v>46</v>
      </c>
    </row>
    <row r="57">
      <c r="A57" s="25">
        <v>43866.0</v>
      </c>
      <c r="B57" s="28">
        <v>0.6326388888888889</v>
      </c>
      <c r="C57" s="5" t="s">
        <v>75</v>
      </c>
      <c r="D57" s="29">
        <v>43938.0</v>
      </c>
      <c r="E57" s="5">
        <v>62.5</v>
      </c>
      <c r="F57" s="5" t="s">
        <v>38</v>
      </c>
      <c r="G57" s="5">
        <v>60.77</v>
      </c>
      <c r="H57" s="5">
        <v>1772.0</v>
      </c>
      <c r="I57" s="5">
        <v>0.9</v>
      </c>
      <c r="J57" s="5" t="s">
        <v>39</v>
      </c>
      <c r="K57" s="5">
        <v>1798.0</v>
      </c>
      <c r="L57" s="5">
        <v>1551.0</v>
      </c>
      <c r="M57" s="30">
        <v>159448.0</v>
      </c>
      <c r="N57" s="15" t="str">
        <f t="array" ref="N57">IFERROR(VLOOKUP(T57,Ref_sheet!$A$1:$B$8,2,FALSE))</f>
        <v/>
      </c>
      <c r="O57" s="12">
        <v>49.0</v>
      </c>
      <c r="P57" s="5" t="s">
        <v>64</v>
      </c>
      <c r="Q57" s="5"/>
      <c r="R57" s="5" t="s">
        <v>41</v>
      </c>
      <c r="S57" s="5"/>
      <c r="T57" s="5" t="s">
        <v>42</v>
      </c>
    </row>
    <row r="58">
      <c r="A58" s="25">
        <v>43866.0</v>
      </c>
      <c r="B58" s="28">
        <v>0.6319444444444444</v>
      </c>
      <c r="C58" s="5" t="s">
        <v>203</v>
      </c>
      <c r="D58" s="29">
        <v>43875.0</v>
      </c>
      <c r="E58" s="5">
        <v>325.0</v>
      </c>
      <c r="F58" s="5" t="s">
        <v>38</v>
      </c>
      <c r="G58" s="5">
        <v>321.89</v>
      </c>
      <c r="H58" s="5">
        <v>509.0</v>
      </c>
      <c r="I58" s="5">
        <v>3.5</v>
      </c>
      <c r="J58" s="5" t="s">
        <v>39</v>
      </c>
      <c r="K58" s="5">
        <v>7603.0</v>
      </c>
      <c r="L58" s="5">
        <v>4419.0</v>
      </c>
      <c r="M58" s="30">
        <v>178180.0</v>
      </c>
      <c r="N58" s="15" t="str">
        <f t="array" ref="N58">IFERROR(VLOOKUP(T58,Ref_sheet!$A$1:$B$8,2,FALSE))</f>
        <v/>
      </c>
      <c r="O58" s="12">
        <v>19.0</v>
      </c>
      <c r="P58" s="5" t="s">
        <v>40</v>
      </c>
      <c r="Q58" s="5"/>
      <c r="R58" s="5" t="s">
        <v>41</v>
      </c>
      <c r="S58" s="5"/>
      <c r="T58" s="5" t="s">
        <v>36</v>
      </c>
    </row>
    <row r="59">
      <c r="A59" s="25">
        <v>43866.0</v>
      </c>
      <c r="B59" s="28">
        <v>0.6305555555555555</v>
      </c>
      <c r="C59" s="5" t="s">
        <v>159</v>
      </c>
      <c r="D59" s="29">
        <v>43882.0</v>
      </c>
      <c r="E59" s="5">
        <v>54.0</v>
      </c>
      <c r="F59" s="5" t="s">
        <v>38</v>
      </c>
      <c r="G59" s="5">
        <v>52.36</v>
      </c>
      <c r="H59" s="5">
        <v>826.0</v>
      </c>
      <c r="I59" s="5">
        <v>0.81</v>
      </c>
      <c r="J59" s="5" t="s">
        <v>39</v>
      </c>
      <c r="K59" s="5">
        <v>836.0</v>
      </c>
      <c r="L59" s="5">
        <v>85.0</v>
      </c>
      <c r="M59" s="30">
        <v>66902.0</v>
      </c>
      <c r="N59" s="15" t="str">
        <f t="array" ref="N59">IFERROR(VLOOKUP(T59,Ref_sheet!$A$1:$B$8,2,FALSE))</f>
        <v/>
      </c>
      <c r="O59" s="12">
        <v>55.0</v>
      </c>
      <c r="P59" s="5" t="s">
        <v>162</v>
      </c>
      <c r="Q59" s="5"/>
      <c r="R59" s="5" t="s">
        <v>41</v>
      </c>
      <c r="S59" s="5"/>
      <c r="T59" s="5" t="s">
        <v>42</v>
      </c>
    </row>
    <row r="60">
      <c r="A60" s="25">
        <v>43866.0</v>
      </c>
      <c r="B60" s="28">
        <v>0.6305555555555555</v>
      </c>
      <c r="C60" s="5" t="s">
        <v>49</v>
      </c>
      <c r="D60" s="29">
        <v>43868.0</v>
      </c>
      <c r="E60" s="5">
        <v>230.0</v>
      </c>
      <c r="F60" s="5" t="s">
        <v>38</v>
      </c>
      <c r="G60" s="5">
        <v>228.73</v>
      </c>
      <c r="H60" s="5">
        <v>1001.0</v>
      </c>
      <c r="I60" s="5">
        <v>0.64</v>
      </c>
      <c r="J60" s="5" t="s">
        <v>39</v>
      </c>
      <c r="K60" s="5">
        <v>13336.0</v>
      </c>
      <c r="L60" s="5">
        <v>3281.0</v>
      </c>
      <c r="M60" s="30">
        <v>64063.0</v>
      </c>
      <c r="N60" s="15" t="str">
        <f t="array" ref="N60">IFERROR(VLOOKUP(T60,Ref_sheet!$A$1:$B$8,2,FALSE))</f>
        <v/>
      </c>
      <c r="O60" s="12">
        <v>24.0</v>
      </c>
      <c r="P60" s="5" t="s">
        <v>34</v>
      </c>
      <c r="Q60" s="5"/>
      <c r="R60" s="5" t="s">
        <v>41</v>
      </c>
      <c r="S60" s="5"/>
      <c r="T60" s="5" t="s">
        <v>36</v>
      </c>
    </row>
    <row r="61">
      <c r="A61" s="25">
        <v>43866.0</v>
      </c>
      <c r="B61" s="28">
        <v>0.6298611111111111</v>
      </c>
      <c r="C61" s="5" t="s">
        <v>211</v>
      </c>
      <c r="D61" s="29">
        <v>43882.0</v>
      </c>
      <c r="E61" s="5">
        <v>11.0</v>
      </c>
      <c r="F61" s="5" t="s">
        <v>38</v>
      </c>
      <c r="G61" s="5">
        <v>9.35</v>
      </c>
      <c r="H61" s="5">
        <v>500.0</v>
      </c>
      <c r="I61" s="5">
        <v>0.35</v>
      </c>
      <c r="J61" s="5" t="s">
        <v>48</v>
      </c>
      <c r="K61" s="5">
        <v>853.0</v>
      </c>
      <c r="L61" s="5">
        <v>3748.0</v>
      </c>
      <c r="M61" s="30">
        <v>17500.0</v>
      </c>
      <c r="N61" s="15" t="str">
        <f t="array" ref="N61">IFERROR(VLOOKUP(T61,Ref_sheet!$A$1:$B$8,2,FALSE))</f>
        <v/>
      </c>
      <c r="O61" s="12">
        <v>48.0</v>
      </c>
      <c r="P61" s="5" t="s">
        <v>182</v>
      </c>
      <c r="Q61" s="5" t="b">
        <v>1</v>
      </c>
      <c r="R61" s="5" t="s">
        <v>41</v>
      </c>
      <c r="S61" s="5"/>
      <c r="T61" s="5" t="s">
        <v>216</v>
      </c>
    </row>
    <row r="62">
      <c r="A62" s="25">
        <v>43866.0</v>
      </c>
      <c r="B62" s="28">
        <v>0.6291666666666667</v>
      </c>
      <c r="C62" s="5" t="s">
        <v>52</v>
      </c>
      <c r="D62" s="29">
        <v>43889.0</v>
      </c>
      <c r="E62" s="5">
        <v>17.5</v>
      </c>
      <c r="F62" s="5" t="s">
        <v>38</v>
      </c>
      <c r="G62" s="5">
        <v>17.73</v>
      </c>
      <c r="H62" s="5">
        <v>500.0</v>
      </c>
      <c r="I62" s="5">
        <v>1.42</v>
      </c>
      <c r="J62" s="5" t="s">
        <v>48</v>
      </c>
      <c r="K62" s="5">
        <v>501.0</v>
      </c>
      <c r="L62" s="5">
        <v>48.0</v>
      </c>
      <c r="M62" s="30">
        <v>71000.0</v>
      </c>
      <c r="N62" s="15" t="str">
        <f t="array" ref="N62">IFERROR(VLOOKUP(T62,Ref_sheet!$A$1:$B$8,2,FALSE))</f>
        <v/>
      </c>
      <c r="O62" s="12">
        <v>52.0</v>
      </c>
      <c r="P62" s="5" t="s">
        <v>53</v>
      </c>
      <c r="Q62" s="5"/>
      <c r="R62" s="5" t="s">
        <v>41</v>
      </c>
      <c r="S62" s="5"/>
      <c r="T62" s="5" t="s">
        <v>42</v>
      </c>
    </row>
    <row r="63">
      <c r="A63" s="25">
        <v>43866.0</v>
      </c>
      <c r="B63" s="28">
        <v>0.6277777777777778</v>
      </c>
      <c r="C63" s="5" t="s">
        <v>217</v>
      </c>
      <c r="D63" s="29">
        <v>43882.0</v>
      </c>
      <c r="E63" s="5">
        <v>80.0</v>
      </c>
      <c r="F63" s="5" t="s">
        <v>32</v>
      </c>
      <c r="G63" s="5">
        <v>82.28</v>
      </c>
      <c r="H63" s="5">
        <v>3000.0</v>
      </c>
      <c r="I63" s="5">
        <v>1.17</v>
      </c>
      <c r="J63" s="5" t="s">
        <v>48</v>
      </c>
      <c r="K63" s="5">
        <v>3309.0</v>
      </c>
      <c r="L63" s="5">
        <v>4438.0</v>
      </c>
      <c r="M63" s="30">
        <v>351000.0</v>
      </c>
      <c r="N63" s="15" t="str">
        <f t="array" ref="N63">IFERROR(VLOOKUP(T63,Ref_sheet!$A$1:$B$8,2,FALSE))</f>
        <v/>
      </c>
      <c r="O63" s="12">
        <v>50.0</v>
      </c>
      <c r="P63" s="5" t="s">
        <v>51</v>
      </c>
      <c r="Q63" s="5"/>
      <c r="R63" s="5" t="s">
        <v>35</v>
      </c>
      <c r="S63" s="5"/>
      <c r="T63" s="5" t="s">
        <v>46</v>
      </c>
    </row>
    <row r="64">
      <c r="A64" s="25">
        <v>43866.0</v>
      </c>
      <c r="B64" s="28">
        <v>0.6270833333333333</v>
      </c>
      <c r="C64" s="5" t="s">
        <v>220</v>
      </c>
      <c r="D64" s="29">
        <v>43868.0</v>
      </c>
      <c r="E64" s="5">
        <v>780.0</v>
      </c>
      <c r="F64" s="5" t="s">
        <v>38</v>
      </c>
      <c r="G64" s="5">
        <v>739.07</v>
      </c>
      <c r="H64" s="5">
        <v>132.0</v>
      </c>
      <c r="I64" s="5">
        <v>18.15</v>
      </c>
      <c r="J64" s="5" t="s">
        <v>48</v>
      </c>
      <c r="K64" s="5">
        <v>6583.0</v>
      </c>
      <c r="L64" s="5">
        <v>1569.0</v>
      </c>
      <c r="M64" s="30">
        <v>239579.0</v>
      </c>
      <c r="N64" s="15" t="str">
        <f t="array" ref="N64">IFERROR(VLOOKUP(T64,Ref_sheet!$A$1:$B$8,2,FALSE))</f>
        <v/>
      </c>
      <c r="O64" s="12">
        <v>23.0</v>
      </c>
      <c r="P64" s="5" t="s">
        <v>58</v>
      </c>
      <c r="Q64" s="5"/>
      <c r="R64" s="5" t="s">
        <v>41</v>
      </c>
      <c r="S64" s="5"/>
      <c r="T64" s="5" t="s">
        <v>36</v>
      </c>
    </row>
    <row r="65">
      <c r="A65" s="25">
        <v>43866.0</v>
      </c>
      <c r="B65" s="28">
        <v>0.6270833333333333</v>
      </c>
      <c r="C65" s="5" t="s">
        <v>225</v>
      </c>
      <c r="D65" s="29">
        <v>43882.0</v>
      </c>
      <c r="E65" s="5">
        <v>85.0</v>
      </c>
      <c r="F65" s="5" t="s">
        <v>32</v>
      </c>
      <c r="G65" s="5">
        <v>86.51</v>
      </c>
      <c r="H65" s="5">
        <v>800.0</v>
      </c>
      <c r="I65" s="5">
        <v>0.7</v>
      </c>
      <c r="J65" s="5" t="s">
        <v>48</v>
      </c>
      <c r="K65" s="5">
        <v>1000.0</v>
      </c>
      <c r="L65" s="5">
        <v>1.0</v>
      </c>
      <c r="M65" s="30">
        <v>56000.0</v>
      </c>
      <c r="N65" s="15" t="str">
        <f t="array" ref="N65">IFERROR(VLOOKUP(T65,Ref_sheet!$A$1:$B$8,2,FALSE))</f>
        <v/>
      </c>
      <c r="O65" s="12">
        <v>51.0</v>
      </c>
      <c r="P65" s="5" t="s">
        <v>34</v>
      </c>
      <c r="Q65" s="5"/>
      <c r="R65" s="5" t="s">
        <v>35</v>
      </c>
      <c r="S65" s="5"/>
      <c r="T65" s="5" t="s">
        <v>42</v>
      </c>
    </row>
    <row r="66">
      <c r="A66" s="25">
        <v>43866.0</v>
      </c>
      <c r="B66" s="28">
        <v>0.6270833333333333</v>
      </c>
      <c r="C66" s="5" t="s">
        <v>232</v>
      </c>
      <c r="D66" s="29">
        <v>43882.0</v>
      </c>
      <c r="E66" s="5">
        <v>20.0</v>
      </c>
      <c r="F66" s="5" t="s">
        <v>32</v>
      </c>
      <c r="G66" s="5">
        <v>21.21</v>
      </c>
      <c r="H66" s="5">
        <v>2000.0</v>
      </c>
      <c r="I66" s="5">
        <v>0.45</v>
      </c>
      <c r="J66" s="5" t="s">
        <v>39</v>
      </c>
      <c r="K66" s="5">
        <v>2389.0</v>
      </c>
      <c r="L66" s="5">
        <v>11347.0</v>
      </c>
      <c r="M66" s="30">
        <v>90000.0</v>
      </c>
      <c r="N66" s="15" t="str">
        <f t="array" ref="N66">IFERROR(VLOOKUP(T66,Ref_sheet!$A$1:$B$8,2,FALSE))</f>
        <v/>
      </c>
      <c r="O66" s="12">
        <v>31.0</v>
      </c>
      <c r="P66" s="5" t="s">
        <v>64</v>
      </c>
      <c r="Q66" s="5"/>
      <c r="R66" s="5" t="s">
        <v>35</v>
      </c>
      <c r="S66" s="5"/>
      <c r="T66" s="5" t="s">
        <v>46</v>
      </c>
    </row>
    <row r="67">
      <c r="A67" s="25">
        <v>43866.0</v>
      </c>
      <c r="B67" s="28">
        <v>0.6270833333333333</v>
      </c>
      <c r="C67" s="5" t="s">
        <v>232</v>
      </c>
      <c r="D67" s="29">
        <v>43882.0</v>
      </c>
      <c r="E67" s="5">
        <v>20.0</v>
      </c>
      <c r="F67" s="5" t="s">
        <v>32</v>
      </c>
      <c r="G67" s="5">
        <v>21.18</v>
      </c>
      <c r="H67" s="5">
        <v>951.0</v>
      </c>
      <c r="I67" s="5">
        <v>0.45</v>
      </c>
      <c r="J67" s="5" t="s">
        <v>48</v>
      </c>
      <c r="K67" s="5">
        <v>1340.0</v>
      </c>
      <c r="L67" s="5">
        <v>11347.0</v>
      </c>
      <c r="M67" s="30">
        <v>42795.0</v>
      </c>
      <c r="N67" s="15" t="str">
        <f t="array" ref="N67">IFERROR(VLOOKUP(T67,Ref_sheet!$A$1:$B$8,2,FALSE))</f>
        <v/>
      </c>
      <c r="O67" s="12">
        <v>24.0</v>
      </c>
      <c r="P67" s="5" t="s">
        <v>64</v>
      </c>
      <c r="Q67" s="5"/>
      <c r="R67" s="5" t="s">
        <v>35</v>
      </c>
      <c r="S67" s="5"/>
      <c r="T67" s="5" t="s">
        <v>46</v>
      </c>
    </row>
    <row r="68">
      <c r="A68" s="25">
        <v>43866.0</v>
      </c>
      <c r="B68" s="28">
        <v>0.6270833333333333</v>
      </c>
      <c r="C68" s="5" t="s">
        <v>103</v>
      </c>
      <c r="D68" s="29">
        <v>43875.0</v>
      </c>
      <c r="E68" s="5">
        <v>131.0</v>
      </c>
      <c r="F68" s="5" t="s">
        <v>38</v>
      </c>
      <c r="G68" s="5">
        <v>132.62</v>
      </c>
      <c r="H68" s="5">
        <v>442.0</v>
      </c>
      <c r="I68" s="5">
        <v>3.07</v>
      </c>
      <c r="J68" s="5" t="s">
        <v>39</v>
      </c>
      <c r="K68" s="5">
        <v>991.0</v>
      </c>
      <c r="L68" s="5">
        <v>195.0</v>
      </c>
      <c r="M68" s="30">
        <v>135605.0</v>
      </c>
      <c r="N68" s="15" t="str">
        <f t="array" ref="N68">IFERROR(VLOOKUP(T68,Ref_sheet!$A$1:$B$8,2,FALSE))</f>
        <v/>
      </c>
      <c r="O68" s="12">
        <v>49.0</v>
      </c>
      <c r="P68" s="5" t="s">
        <v>40</v>
      </c>
      <c r="Q68" s="5"/>
      <c r="R68" s="5" t="s">
        <v>41</v>
      </c>
      <c r="S68" s="5"/>
      <c r="T68" s="5" t="s">
        <v>42</v>
      </c>
    </row>
    <row r="69">
      <c r="A69" s="25">
        <v>43866.0</v>
      </c>
      <c r="B69" s="28">
        <v>0.6263888888888889</v>
      </c>
      <c r="C69" s="5" t="s">
        <v>37</v>
      </c>
      <c r="D69" s="29">
        <v>43875.0</v>
      </c>
      <c r="E69" s="5">
        <v>21.0</v>
      </c>
      <c r="F69" s="5" t="s">
        <v>32</v>
      </c>
      <c r="G69" s="5">
        <v>21.86</v>
      </c>
      <c r="H69" s="5">
        <v>653.0</v>
      </c>
      <c r="I69" s="5">
        <v>1.15</v>
      </c>
      <c r="J69" s="5" t="s">
        <v>39</v>
      </c>
      <c r="K69" s="5">
        <v>675.0</v>
      </c>
      <c r="L69" s="5">
        <v>490.0</v>
      </c>
      <c r="M69" s="30">
        <v>75095.0</v>
      </c>
      <c r="N69" s="15" t="str">
        <f t="array" ref="N69">IFERROR(VLOOKUP(T69,Ref_sheet!$A$1:$B$8,2,FALSE))</f>
        <v/>
      </c>
      <c r="O69" s="12">
        <v>57.0</v>
      </c>
      <c r="P69" s="5" t="s">
        <v>40</v>
      </c>
      <c r="Q69" s="5"/>
      <c r="R69" s="5" t="s">
        <v>35</v>
      </c>
      <c r="S69" s="5"/>
      <c r="T69" s="5" t="s">
        <v>42</v>
      </c>
    </row>
    <row r="70">
      <c r="A70" s="25">
        <v>43866.0</v>
      </c>
      <c r="B70" s="28">
        <v>0.6229166666666667</v>
      </c>
      <c r="C70" s="5" t="s">
        <v>60</v>
      </c>
      <c r="D70" s="29">
        <v>43868.0</v>
      </c>
      <c r="E70" s="5">
        <v>2085.0</v>
      </c>
      <c r="F70" s="5" t="s">
        <v>38</v>
      </c>
      <c r="G70" s="5">
        <v>2054.23</v>
      </c>
      <c r="H70" s="5">
        <v>100.0</v>
      </c>
      <c r="I70" s="5">
        <v>6.25</v>
      </c>
      <c r="J70" s="5" t="s">
        <v>48</v>
      </c>
      <c r="K70" s="5">
        <v>1742.0</v>
      </c>
      <c r="L70" s="5">
        <v>541.0</v>
      </c>
      <c r="M70" s="30">
        <v>62500.0</v>
      </c>
      <c r="N70" s="15" t="str">
        <f t="array" ref="N70">IFERROR(VLOOKUP(T70,Ref_sheet!$A$1:$B$8,2,FALSE))</f>
        <v/>
      </c>
      <c r="O70" s="12">
        <v>21.0</v>
      </c>
      <c r="P70" s="5" t="s">
        <v>51</v>
      </c>
      <c r="Q70" s="5"/>
      <c r="R70" s="5" t="s">
        <v>41</v>
      </c>
      <c r="S70" s="5"/>
      <c r="T70" s="5" t="s">
        <v>36</v>
      </c>
    </row>
    <row r="71">
      <c r="A71" s="25">
        <v>43866.0</v>
      </c>
      <c r="B71" s="28">
        <v>0.6208333333333333</v>
      </c>
      <c r="C71" s="5" t="s">
        <v>60</v>
      </c>
      <c r="D71" s="29">
        <v>43868.0</v>
      </c>
      <c r="E71" s="5">
        <v>2085.0</v>
      </c>
      <c r="F71" s="5" t="s">
        <v>38</v>
      </c>
      <c r="G71" s="5">
        <v>2054.37</v>
      </c>
      <c r="H71" s="5">
        <v>152.0</v>
      </c>
      <c r="I71" s="5">
        <v>6.43</v>
      </c>
      <c r="J71" s="5" t="s">
        <v>48</v>
      </c>
      <c r="K71" s="5">
        <v>1616.0</v>
      </c>
      <c r="L71" s="5">
        <v>541.0</v>
      </c>
      <c r="M71" s="30">
        <v>97736.0</v>
      </c>
      <c r="N71" s="15" t="str">
        <f t="array" ref="N71">IFERROR(VLOOKUP(T71,Ref_sheet!$A$1:$B$8,2,FALSE))</f>
        <v/>
      </c>
      <c r="O71" s="12">
        <v>24.0</v>
      </c>
      <c r="P71" s="5" t="s">
        <v>51</v>
      </c>
      <c r="Q71" s="5"/>
      <c r="R71" s="5" t="s">
        <v>41</v>
      </c>
      <c r="S71" s="5"/>
      <c r="T71" s="5" t="s">
        <v>36</v>
      </c>
    </row>
    <row r="72">
      <c r="A72" s="25">
        <v>43866.0</v>
      </c>
      <c r="B72" s="28">
        <v>0.6208333333333333</v>
      </c>
      <c r="C72" s="5" t="s">
        <v>60</v>
      </c>
      <c r="D72" s="29">
        <v>43868.0</v>
      </c>
      <c r="E72" s="5">
        <v>2085.0</v>
      </c>
      <c r="F72" s="5" t="s">
        <v>38</v>
      </c>
      <c r="G72" s="5">
        <v>2054.44</v>
      </c>
      <c r="H72" s="5">
        <v>193.0</v>
      </c>
      <c r="I72" s="5">
        <v>6.38</v>
      </c>
      <c r="J72" s="5" t="s">
        <v>48</v>
      </c>
      <c r="K72" s="5">
        <v>1425.0</v>
      </c>
      <c r="L72" s="5">
        <v>541.0</v>
      </c>
      <c r="M72" s="30">
        <v>123134.0</v>
      </c>
      <c r="N72" s="15" t="str">
        <f t="array" ref="N72">IFERROR(VLOOKUP(T72,Ref_sheet!$A$1:$B$8,2,FALSE))</f>
        <v/>
      </c>
      <c r="O72" s="12">
        <v>29.0</v>
      </c>
      <c r="P72" s="5" t="s">
        <v>51</v>
      </c>
      <c r="Q72" s="5"/>
      <c r="R72" s="5" t="s">
        <v>41</v>
      </c>
      <c r="S72" s="5"/>
      <c r="T72" s="5" t="s">
        <v>36</v>
      </c>
    </row>
    <row r="73">
      <c r="A73" s="25">
        <v>43866.0</v>
      </c>
      <c r="B73" s="28">
        <v>0.6208333333333333</v>
      </c>
      <c r="C73" s="5" t="s">
        <v>60</v>
      </c>
      <c r="D73" s="29">
        <v>43868.0</v>
      </c>
      <c r="E73" s="5">
        <v>2085.0</v>
      </c>
      <c r="F73" s="5" t="s">
        <v>38</v>
      </c>
      <c r="G73" s="5">
        <v>2054.44</v>
      </c>
      <c r="H73" s="5">
        <v>193.0</v>
      </c>
      <c r="I73" s="5">
        <v>6.38</v>
      </c>
      <c r="J73" s="5" t="s">
        <v>48</v>
      </c>
      <c r="K73" s="5">
        <v>1232.0</v>
      </c>
      <c r="L73" s="5">
        <v>541.0</v>
      </c>
      <c r="M73" s="30">
        <v>123134.0</v>
      </c>
      <c r="N73" s="15" t="str">
        <f t="array" ref="N73">IFERROR(VLOOKUP(T73,Ref_sheet!$A$1:$B$8,2,FALSE))</f>
        <v/>
      </c>
      <c r="O73" s="12">
        <v>30.0</v>
      </c>
      <c r="P73" s="5" t="s">
        <v>51</v>
      </c>
      <c r="Q73" s="5"/>
      <c r="R73" s="5" t="s">
        <v>41</v>
      </c>
      <c r="S73" s="5"/>
      <c r="T73" s="5" t="s">
        <v>36</v>
      </c>
    </row>
    <row r="74">
      <c r="A74" s="25">
        <v>43866.0</v>
      </c>
      <c r="B74" s="28">
        <v>0.6208333333333333</v>
      </c>
      <c r="C74" s="5" t="s">
        <v>60</v>
      </c>
      <c r="D74" s="29">
        <v>43868.0</v>
      </c>
      <c r="E74" s="5">
        <v>2085.0</v>
      </c>
      <c r="F74" s="5" t="s">
        <v>38</v>
      </c>
      <c r="G74" s="5">
        <v>2054.44</v>
      </c>
      <c r="H74" s="5">
        <v>163.0</v>
      </c>
      <c r="I74" s="5">
        <v>6.38</v>
      </c>
      <c r="J74" s="5" t="s">
        <v>48</v>
      </c>
      <c r="K74" s="5">
        <v>1039.0</v>
      </c>
      <c r="L74" s="5">
        <v>541.0</v>
      </c>
      <c r="M74" s="30">
        <v>103994.0</v>
      </c>
      <c r="N74" s="15" t="str">
        <f t="array" ref="N74">IFERROR(VLOOKUP(T74,Ref_sheet!$A$1:$B$8,2,FALSE))</f>
        <v/>
      </c>
      <c r="O74" s="12">
        <v>28.0</v>
      </c>
      <c r="P74" s="5" t="s">
        <v>51</v>
      </c>
      <c r="Q74" s="5"/>
      <c r="R74" s="5" t="s">
        <v>41</v>
      </c>
      <c r="S74" s="5"/>
      <c r="T74" s="5" t="s">
        <v>36</v>
      </c>
    </row>
    <row r="75">
      <c r="A75" s="25">
        <v>43866.0</v>
      </c>
      <c r="B75" s="28">
        <v>0.6201388888888889</v>
      </c>
      <c r="C75" s="5" t="s">
        <v>249</v>
      </c>
      <c r="D75" s="29">
        <v>43868.0</v>
      </c>
      <c r="E75" s="5">
        <v>67.0</v>
      </c>
      <c r="F75" s="5" t="s">
        <v>38</v>
      </c>
      <c r="G75" s="5">
        <v>55.61</v>
      </c>
      <c r="H75" s="5">
        <v>500.0</v>
      </c>
      <c r="I75" s="5">
        <v>0.8</v>
      </c>
      <c r="J75" s="5" t="s">
        <v>39</v>
      </c>
      <c r="K75" s="5">
        <v>569.0</v>
      </c>
      <c r="L75" s="5">
        <v>2023.0</v>
      </c>
      <c r="M75" s="30">
        <v>40000.0</v>
      </c>
      <c r="N75" s="15" t="str">
        <f t="array" ref="N75">IFERROR(VLOOKUP(T75,Ref_sheet!$A$1:$B$8,2,FALSE))</f>
        <v/>
      </c>
      <c r="O75" s="12">
        <v>61.0</v>
      </c>
      <c r="P75" s="5" t="s">
        <v>51</v>
      </c>
      <c r="Q75" s="5" t="b">
        <v>1</v>
      </c>
      <c r="R75" s="5" t="s">
        <v>41</v>
      </c>
      <c r="S75" s="5"/>
      <c r="T75" s="5" t="s">
        <v>216</v>
      </c>
    </row>
    <row r="76">
      <c r="A76" s="25">
        <v>43866.0</v>
      </c>
      <c r="B76" s="28">
        <v>0.6201388888888889</v>
      </c>
      <c r="C76" s="5" t="s">
        <v>177</v>
      </c>
      <c r="D76" s="29">
        <v>43868.0</v>
      </c>
      <c r="E76" s="5">
        <v>95.0</v>
      </c>
      <c r="F76" s="5" t="s">
        <v>38</v>
      </c>
      <c r="G76" s="5">
        <v>90.75</v>
      </c>
      <c r="H76" s="5">
        <v>1888.0</v>
      </c>
      <c r="I76" s="5">
        <v>1.03</v>
      </c>
      <c r="J76" s="5" t="s">
        <v>39</v>
      </c>
      <c r="K76" s="5">
        <v>6089.0</v>
      </c>
      <c r="L76" s="5">
        <v>5133.0</v>
      </c>
      <c r="M76" s="30">
        <v>194464.0</v>
      </c>
      <c r="N76" s="15" t="str">
        <f t="array" ref="N76">IFERROR(VLOOKUP(T76,Ref_sheet!$A$1:$B$8,2,FALSE))</f>
        <v/>
      </c>
      <c r="O76" s="12">
        <v>33.0</v>
      </c>
      <c r="P76" s="5" t="s">
        <v>40</v>
      </c>
      <c r="Q76" s="5"/>
      <c r="R76" s="5" t="s">
        <v>41</v>
      </c>
      <c r="S76" s="5"/>
      <c r="T76" s="5" t="s">
        <v>36</v>
      </c>
    </row>
    <row r="77">
      <c r="A77" s="25">
        <v>43866.0</v>
      </c>
      <c r="B77" s="28">
        <v>0.6201388888888889</v>
      </c>
      <c r="C77" s="5" t="s">
        <v>258</v>
      </c>
      <c r="D77" s="29">
        <v>43938.0</v>
      </c>
      <c r="E77" s="5">
        <v>140.0</v>
      </c>
      <c r="F77" s="5" t="s">
        <v>38</v>
      </c>
      <c r="G77" s="5">
        <v>137.12</v>
      </c>
      <c r="H77" s="5">
        <v>663.0</v>
      </c>
      <c r="I77" s="5">
        <v>3.35</v>
      </c>
      <c r="J77" s="5" t="s">
        <v>48</v>
      </c>
      <c r="K77" s="5">
        <v>3834.0</v>
      </c>
      <c r="L77" s="5">
        <v>6019.0</v>
      </c>
      <c r="M77" s="30">
        <v>222105.0</v>
      </c>
      <c r="N77" s="15" t="str">
        <f t="array" ref="N77">IFERROR(VLOOKUP(T77,Ref_sheet!$A$1:$B$8,2,FALSE))</f>
        <v/>
      </c>
      <c r="O77" s="12">
        <v>11.0</v>
      </c>
      <c r="P77" s="5" t="s">
        <v>162</v>
      </c>
      <c r="Q77" s="5"/>
      <c r="R77" s="5" t="s">
        <v>41</v>
      </c>
      <c r="S77" s="5"/>
      <c r="T77" s="5" t="s">
        <v>46</v>
      </c>
    </row>
    <row r="78">
      <c r="A78" s="25">
        <v>43866.0</v>
      </c>
      <c r="B78" s="28">
        <v>0.6201388888888889</v>
      </c>
      <c r="C78" s="5" t="s">
        <v>56</v>
      </c>
      <c r="D78" s="29">
        <v>43921.0</v>
      </c>
      <c r="E78" s="5">
        <v>55.0</v>
      </c>
      <c r="F78" s="5" t="s">
        <v>38</v>
      </c>
      <c r="G78" s="5">
        <v>54.75</v>
      </c>
      <c r="H78" s="5">
        <v>4110.0</v>
      </c>
      <c r="I78" s="5">
        <v>1.6</v>
      </c>
      <c r="J78" s="5" t="s">
        <v>48</v>
      </c>
      <c r="K78" s="5">
        <v>25021.0</v>
      </c>
      <c r="L78" s="5">
        <v>301.0</v>
      </c>
      <c r="M78" s="30">
        <v>657600.0</v>
      </c>
      <c r="N78" s="15" t="str">
        <f t="array" ref="N78">IFERROR(VLOOKUP(T78,Ref_sheet!$A$1:$B$8,2,FALSE))</f>
        <v/>
      </c>
      <c r="O78" s="12">
        <v>37.0</v>
      </c>
      <c r="P78" s="5" t="s">
        <v>34</v>
      </c>
      <c r="Q78" s="5"/>
      <c r="R78" s="5" t="s">
        <v>41</v>
      </c>
      <c r="S78" s="5"/>
      <c r="T78" s="5" t="s">
        <v>42</v>
      </c>
    </row>
    <row r="79">
      <c r="A79" s="25">
        <v>43866.0</v>
      </c>
      <c r="B79" s="28">
        <v>0.6194444444444445</v>
      </c>
      <c r="C79" s="5" t="s">
        <v>260</v>
      </c>
      <c r="D79" s="29">
        <v>43910.0</v>
      </c>
      <c r="E79" s="5">
        <v>80.0</v>
      </c>
      <c r="F79" s="5" t="s">
        <v>38</v>
      </c>
      <c r="G79" s="5">
        <v>78.77</v>
      </c>
      <c r="H79" s="5">
        <v>664.0</v>
      </c>
      <c r="I79" s="5">
        <v>2.0</v>
      </c>
      <c r="J79" s="5" t="s">
        <v>39</v>
      </c>
      <c r="K79" s="5">
        <v>7118.0</v>
      </c>
      <c r="L79" s="5">
        <v>22762.0</v>
      </c>
      <c r="M79" s="30">
        <v>132800.0</v>
      </c>
      <c r="N79" s="15" t="str">
        <f t="array" ref="N79">IFERROR(VLOOKUP(T79,Ref_sheet!$A$1:$B$8,2,FALSE))</f>
        <v/>
      </c>
      <c r="O79" s="12">
        <v>10.0</v>
      </c>
      <c r="P79" s="5" t="s">
        <v>162</v>
      </c>
      <c r="Q79" s="5"/>
      <c r="R79" s="5" t="s">
        <v>41</v>
      </c>
      <c r="S79" s="5"/>
      <c r="T79" s="5" t="s">
        <v>46</v>
      </c>
    </row>
    <row r="80">
      <c r="A80" s="25">
        <v>43866.0</v>
      </c>
      <c r="B80" s="28">
        <v>0.6194444444444445</v>
      </c>
      <c r="C80" s="5" t="s">
        <v>122</v>
      </c>
      <c r="D80" s="29">
        <v>43938.0</v>
      </c>
      <c r="E80" s="5">
        <v>35.0</v>
      </c>
      <c r="F80" s="5" t="s">
        <v>38</v>
      </c>
      <c r="G80" s="5">
        <v>34.65</v>
      </c>
      <c r="H80" s="5">
        <v>1022.0</v>
      </c>
      <c r="I80" s="5">
        <v>1.14</v>
      </c>
      <c r="J80" s="5" t="s">
        <v>48</v>
      </c>
      <c r="K80" s="5">
        <v>13213.0</v>
      </c>
      <c r="L80" s="5">
        <v>12746.0</v>
      </c>
      <c r="M80" s="30">
        <v>116508.0</v>
      </c>
      <c r="N80" s="15" t="str">
        <f t="array" ref="N80">IFERROR(VLOOKUP(T80,Ref_sheet!$A$1:$B$8,2,FALSE))</f>
        <v/>
      </c>
      <c r="O80" s="12">
        <v>8.0</v>
      </c>
      <c r="P80" s="5" t="s">
        <v>162</v>
      </c>
      <c r="Q80" s="5"/>
      <c r="R80" s="5" t="s">
        <v>41</v>
      </c>
      <c r="S80" s="5"/>
      <c r="T80" s="5" t="s">
        <v>36</v>
      </c>
    </row>
    <row r="81">
      <c r="A81" s="25">
        <v>43866.0</v>
      </c>
      <c r="B81" s="28">
        <v>0.6173611111111111</v>
      </c>
      <c r="C81" s="5" t="s">
        <v>265</v>
      </c>
      <c r="D81" s="29">
        <v>43868.0</v>
      </c>
      <c r="E81" s="5">
        <v>3335.0</v>
      </c>
      <c r="F81" s="5" t="s">
        <v>38</v>
      </c>
      <c r="G81" s="5">
        <v>3329.8</v>
      </c>
      <c r="H81" s="5">
        <v>250.0</v>
      </c>
      <c r="I81" s="5">
        <v>10.6</v>
      </c>
      <c r="J81" s="5" t="s">
        <v>33</v>
      </c>
      <c r="K81" s="5">
        <v>2563.0</v>
      </c>
      <c r="L81" s="5">
        <v>3446.0</v>
      </c>
      <c r="M81" s="30">
        <v>265000.0</v>
      </c>
      <c r="N81" s="15" t="str">
        <f t="array" ref="N81">IFERROR(VLOOKUP(T81,Ref_sheet!$A$1:$B$8,2,FALSE))</f>
        <v/>
      </c>
      <c r="O81" s="12">
        <v>24.0</v>
      </c>
      <c r="P81" s="5" t="s">
        <v>34</v>
      </c>
      <c r="Q81" s="5"/>
      <c r="R81" s="5" t="s">
        <v>41</v>
      </c>
      <c r="S81" s="5"/>
      <c r="T81" s="5" t="s">
        <v>46</v>
      </c>
    </row>
    <row r="82">
      <c r="A82" s="25">
        <v>43866.0</v>
      </c>
      <c r="B82" s="28">
        <v>0.6180555555555556</v>
      </c>
      <c r="C82" s="5" t="s">
        <v>268</v>
      </c>
      <c r="D82" s="29">
        <v>43868.0</v>
      </c>
      <c r="E82" s="5">
        <v>370.0</v>
      </c>
      <c r="F82" s="5" t="s">
        <v>38</v>
      </c>
      <c r="G82" s="5">
        <v>369.92</v>
      </c>
      <c r="H82" s="5">
        <v>299.0</v>
      </c>
      <c r="I82" s="5">
        <v>4.45</v>
      </c>
      <c r="J82" s="5" t="s">
        <v>48</v>
      </c>
      <c r="K82" s="5">
        <v>8529.0</v>
      </c>
      <c r="L82" s="5">
        <v>2765.0</v>
      </c>
      <c r="M82" s="30">
        <v>133055.0</v>
      </c>
      <c r="N82" s="15" t="str">
        <f t="array" ref="N82">IFERROR(VLOOKUP(T82,Ref_sheet!$A$1:$B$8,2,FALSE))</f>
        <v/>
      </c>
      <c r="O82" s="12">
        <v>21.0</v>
      </c>
      <c r="P82" s="5" t="s">
        <v>51</v>
      </c>
      <c r="Q82" s="5"/>
      <c r="R82" s="5" t="s">
        <v>41</v>
      </c>
      <c r="S82" s="5"/>
      <c r="T82" s="5" t="s">
        <v>36</v>
      </c>
    </row>
    <row r="83">
      <c r="A83" s="25">
        <v>43866.0</v>
      </c>
      <c r="B83" s="28">
        <v>0.6173611111111111</v>
      </c>
      <c r="C83" s="5" t="s">
        <v>269</v>
      </c>
      <c r="D83" s="29">
        <v>43882.0</v>
      </c>
      <c r="E83" s="5">
        <v>35.0</v>
      </c>
      <c r="F83" s="5" t="s">
        <v>38</v>
      </c>
      <c r="G83" s="5">
        <v>34.02</v>
      </c>
      <c r="H83" s="5">
        <v>500.0</v>
      </c>
      <c r="I83" s="5">
        <v>0.73</v>
      </c>
      <c r="J83" s="5" t="s">
        <v>33</v>
      </c>
      <c r="K83" s="5">
        <v>1064.0</v>
      </c>
      <c r="L83" s="5">
        <v>1381.0</v>
      </c>
      <c r="M83" s="30">
        <v>36250.0</v>
      </c>
      <c r="N83" s="15" t="str">
        <f t="array" ref="N83">IFERROR(VLOOKUP(T83,Ref_sheet!$A$1:$B$8,2,FALSE))</f>
        <v/>
      </c>
      <c r="O83" s="12">
        <v>26.0</v>
      </c>
      <c r="P83" s="5" t="s">
        <v>58</v>
      </c>
      <c r="Q83" s="5"/>
      <c r="R83" s="5" t="s">
        <v>41</v>
      </c>
      <c r="S83" s="5"/>
      <c r="T83" s="5" t="s">
        <v>46</v>
      </c>
    </row>
    <row r="84">
      <c r="A84" s="25">
        <v>43866.0</v>
      </c>
      <c r="B84" s="28">
        <v>0.6166666666666667</v>
      </c>
      <c r="C84" s="5" t="s">
        <v>214</v>
      </c>
      <c r="D84" s="29">
        <v>43882.0</v>
      </c>
      <c r="E84" s="5">
        <v>19.0</v>
      </c>
      <c r="F84" s="5" t="s">
        <v>38</v>
      </c>
      <c r="G84" s="5">
        <v>19.52</v>
      </c>
      <c r="H84" s="5">
        <v>563.0</v>
      </c>
      <c r="I84" s="5">
        <v>1.0</v>
      </c>
      <c r="J84" s="5" t="s">
        <v>39</v>
      </c>
      <c r="K84" s="5">
        <v>610.0</v>
      </c>
      <c r="L84" s="5">
        <v>651.0</v>
      </c>
      <c r="M84" s="30">
        <v>56300.0</v>
      </c>
      <c r="N84" s="15" t="str">
        <f t="array" ref="N84">IFERROR(VLOOKUP(T84,Ref_sheet!$A$1:$B$8,2,FALSE))</f>
        <v/>
      </c>
      <c r="O84" s="12">
        <v>50.0</v>
      </c>
      <c r="P84" s="5" t="s">
        <v>40</v>
      </c>
      <c r="Q84" s="5"/>
      <c r="R84" s="5" t="s">
        <v>41</v>
      </c>
      <c r="S84" s="5"/>
      <c r="T84" s="5" t="s">
        <v>46</v>
      </c>
    </row>
    <row r="85">
      <c r="A85" s="25">
        <v>43866.0</v>
      </c>
      <c r="B85" s="28">
        <v>0.6159722222222223</v>
      </c>
      <c r="C85" s="5" t="s">
        <v>93</v>
      </c>
      <c r="D85" s="29">
        <v>43882.0</v>
      </c>
      <c r="E85" s="5">
        <v>6.0</v>
      </c>
      <c r="F85" s="5" t="s">
        <v>32</v>
      </c>
      <c r="G85" s="5">
        <v>6.44</v>
      </c>
      <c r="H85" s="5">
        <v>531.0</v>
      </c>
      <c r="I85" s="5">
        <v>0.3</v>
      </c>
      <c r="J85" s="5" t="s">
        <v>48</v>
      </c>
      <c r="K85" s="5">
        <v>920.0</v>
      </c>
      <c r="L85" s="5">
        <v>524.0</v>
      </c>
      <c r="M85" s="30">
        <v>15930.0</v>
      </c>
      <c r="N85" s="15" t="str">
        <f t="array" ref="N85">IFERROR(VLOOKUP(T85,Ref_sheet!$A$1:$B$8,2,FALSE))</f>
        <v/>
      </c>
      <c r="O85" s="12">
        <v>44.0</v>
      </c>
      <c r="P85" s="5" t="s">
        <v>40</v>
      </c>
      <c r="Q85" s="5"/>
      <c r="R85" s="5" t="s">
        <v>35</v>
      </c>
      <c r="S85" s="5"/>
      <c r="T85" s="5" t="s">
        <v>42</v>
      </c>
    </row>
    <row r="86">
      <c r="A86" s="25">
        <v>43866.0</v>
      </c>
      <c r="B86" s="28">
        <v>0.6138888888888889</v>
      </c>
      <c r="C86" s="5" t="s">
        <v>126</v>
      </c>
      <c r="D86" s="29">
        <v>44211.0</v>
      </c>
      <c r="E86" s="5">
        <v>44.12</v>
      </c>
      <c r="F86" s="5" t="s">
        <v>38</v>
      </c>
      <c r="G86" s="5">
        <v>44.2</v>
      </c>
      <c r="H86" s="5">
        <v>3000.0</v>
      </c>
      <c r="I86" s="5">
        <v>4.4</v>
      </c>
      <c r="J86" s="5" t="s">
        <v>48</v>
      </c>
      <c r="K86" s="5">
        <v>3017.0</v>
      </c>
      <c r="L86" s="5">
        <v>9316.0</v>
      </c>
      <c r="M86" s="30">
        <v>1320000.0</v>
      </c>
      <c r="N86" s="15" t="str">
        <f t="array" ref="N86">IFERROR(VLOOKUP(T86,Ref_sheet!$A$1:$B$8,2,FALSE))</f>
        <v/>
      </c>
      <c r="O86" s="12">
        <v>33.0</v>
      </c>
      <c r="P86" s="5" t="s">
        <v>45</v>
      </c>
      <c r="Q86" s="5"/>
      <c r="R86" s="5" t="s">
        <v>41</v>
      </c>
      <c r="S86" s="5"/>
      <c r="T86" s="5" t="s">
        <v>46</v>
      </c>
    </row>
    <row r="87">
      <c r="A87" s="25">
        <v>43866.0</v>
      </c>
      <c r="B87" s="28">
        <v>0.6138888888888889</v>
      </c>
      <c r="C87" s="5" t="s">
        <v>31</v>
      </c>
      <c r="D87" s="29">
        <v>43871.0</v>
      </c>
      <c r="E87" s="5">
        <v>332.0</v>
      </c>
      <c r="F87" s="5" t="s">
        <v>32</v>
      </c>
      <c r="G87" s="5">
        <v>332.34</v>
      </c>
      <c r="H87" s="5">
        <v>1000.0</v>
      </c>
      <c r="I87" s="5">
        <v>1.51</v>
      </c>
      <c r="J87" s="5" t="s">
        <v>48</v>
      </c>
      <c r="K87" s="5">
        <v>6118.0</v>
      </c>
      <c r="L87" s="5">
        <v>609.0</v>
      </c>
      <c r="M87" s="30">
        <v>151000.0</v>
      </c>
      <c r="N87" s="15" t="str">
        <f t="array" ref="N87">IFERROR(VLOOKUP(T87,Ref_sheet!$A$1:$B$8,2,FALSE))</f>
        <v/>
      </c>
      <c r="O87" s="12">
        <v>46.0</v>
      </c>
      <c r="P87" s="5" t="s">
        <v>34</v>
      </c>
      <c r="Q87" s="5"/>
      <c r="R87" s="5" t="s">
        <v>35</v>
      </c>
      <c r="S87" s="5"/>
      <c r="T87" s="5" t="s">
        <v>42</v>
      </c>
    </row>
    <row r="88">
      <c r="A88" s="25">
        <v>43866.0</v>
      </c>
      <c r="B88" s="28">
        <v>0.6131944444444445</v>
      </c>
      <c r="C88" s="5" t="s">
        <v>260</v>
      </c>
      <c r="D88" s="29">
        <v>43889.0</v>
      </c>
      <c r="E88" s="5">
        <v>77.5</v>
      </c>
      <c r="F88" s="5" t="s">
        <v>32</v>
      </c>
      <c r="G88" s="5">
        <v>78.78</v>
      </c>
      <c r="H88" s="5">
        <v>742.0</v>
      </c>
      <c r="I88" s="5">
        <v>1.18</v>
      </c>
      <c r="J88" s="5" t="s">
        <v>39</v>
      </c>
      <c r="K88" s="5">
        <v>770.0</v>
      </c>
      <c r="L88" s="5">
        <v>235.0</v>
      </c>
      <c r="M88" s="30">
        <v>87556.0</v>
      </c>
      <c r="N88" s="15" t="str">
        <f t="array" ref="N88">IFERROR(VLOOKUP(T88,Ref_sheet!$A$1:$B$8,2,FALSE))</f>
        <v/>
      </c>
      <c r="O88" s="12">
        <v>52.0</v>
      </c>
      <c r="P88" s="5" t="s">
        <v>162</v>
      </c>
      <c r="Q88" s="5"/>
      <c r="R88" s="5" t="s">
        <v>35</v>
      </c>
      <c r="S88" s="5"/>
      <c r="T88" s="5" t="s">
        <v>42</v>
      </c>
    </row>
    <row r="89">
      <c r="A89" s="25">
        <v>43866.0</v>
      </c>
      <c r="B89" s="28">
        <v>0.6118055555555556</v>
      </c>
      <c r="C89" s="5" t="s">
        <v>57</v>
      </c>
      <c r="D89" s="29">
        <v>43882.0</v>
      </c>
      <c r="E89" s="5">
        <v>50.0</v>
      </c>
      <c r="F89" s="5" t="s">
        <v>38</v>
      </c>
      <c r="G89" s="5">
        <v>49.26</v>
      </c>
      <c r="H89" s="5">
        <v>322.0</v>
      </c>
      <c r="I89" s="5">
        <v>4.0</v>
      </c>
      <c r="J89" s="5" t="s">
        <v>39</v>
      </c>
      <c r="K89" s="5">
        <v>950.0</v>
      </c>
      <c r="L89" s="5">
        <v>1145.0</v>
      </c>
      <c r="M89" s="30">
        <v>128800.0</v>
      </c>
      <c r="N89" s="15" t="str">
        <f t="array" ref="N89">IFERROR(VLOOKUP(T89,Ref_sheet!$A$1:$B$8,2,FALSE))</f>
        <v/>
      </c>
      <c r="O89" s="12">
        <v>26.0</v>
      </c>
      <c r="P89" s="5" t="s">
        <v>58</v>
      </c>
      <c r="Q89" s="5"/>
      <c r="R89" s="5" t="s">
        <v>41</v>
      </c>
      <c r="S89" s="5"/>
      <c r="T89" s="5" t="s">
        <v>46</v>
      </c>
    </row>
    <row r="90">
      <c r="A90" s="25">
        <v>43866.0</v>
      </c>
      <c r="B90" s="28">
        <v>0.6118055555555556</v>
      </c>
      <c r="C90" s="5" t="s">
        <v>287</v>
      </c>
      <c r="D90" s="29">
        <v>43910.0</v>
      </c>
      <c r="E90" s="5">
        <v>15.0</v>
      </c>
      <c r="F90" s="5" t="s">
        <v>32</v>
      </c>
      <c r="G90" s="5">
        <v>15.78</v>
      </c>
      <c r="H90" s="5">
        <v>650.0</v>
      </c>
      <c r="I90" s="5">
        <v>0.3</v>
      </c>
      <c r="J90" s="5" t="s">
        <v>39</v>
      </c>
      <c r="K90" s="5">
        <v>653.0</v>
      </c>
      <c r="L90" s="5">
        <v>4243.0</v>
      </c>
      <c r="M90" s="30">
        <v>19500.0</v>
      </c>
      <c r="N90" s="15" t="str">
        <f t="array" ref="N90">IFERROR(VLOOKUP(T90,Ref_sheet!$A$1:$B$8,2,FALSE))</f>
        <v/>
      </c>
      <c r="O90" s="12">
        <v>27.0</v>
      </c>
      <c r="P90" s="5" t="s">
        <v>64</v>
      </c>
      <c r="Q90" s="5"/>
      <c r="R90" s="5" t="s">
        <v>35</v>
      </c>
      <c r="S90" s="5"/>
      <c r="T90" s="5" t="s">
        <v>46</v>
      </c>
    </row>
    <row r="91">
      <c r="A91" s="25">
        <v>43866.0</v>
      </c>
      <c r="B91" s="28">
        <v>0.6111111111111112</v>
      </c>
      <c r="C91" s="5" t="s">
        <v>290</v>
      </c>
      <c r="D91" s="29">
        <v>44001.0</v>
      </c>
      <c r="E91" s="5">
        <v>160.0</v>
      </c>
      <c r="F91" s="5" t="s">
        <v>38</v>
      </c>
      <c r="G91" s="5">
        <v>130.79</v>
      </c>
      <c r="H91" s="5">
        <v>258.0</v>
      </c>
      <c r="I91" s="5">
        <v>2.99</v>
      </c>
      <c r="J91" s="5" t="s">
        <v>39</v>
      </c>
      <c r="K91" s="5">
        <v>282.0</v>
      </c>
      <c r="L91" s="5">
        <v>3760.0</v>
      </c>
      <c r="M91" s="30">
        <v>77243.0</v>
      </c>
      <c r="N91" s="15" t="str">
        <f t="array" ref="N91">IFERROR(VLOOKUP(T91,Ref_sheet!$A$1:$B$8,2,FALSE))</f>
        <v/>
      </c>
      <c r="O91" s="12">
        <v>23.0</v>
      </c>
      <c r="P91" s="5" t="s">
        <v>40</v>
      </c>
      <c r="Q91" s="5"/>
      <c r="R91" s="5" t="s">
        <v>41</v>
      </c>
      <c r="S91" s="5"/>
      <c r="T91" s="5" t="s">
        <v>46</v>
      </c>
    </row>
    <row r="92">
      <c r="A92" s="25">
        <v>43866.0</v>
      </c>
      <c r="B92" s="28">
        <v>0.6111111111111112</v>
      </c>
      <c r="C92" s="5" t="s">
        <v>297</v>
      </c>
      <c r="D92" s="29">
        <v>43938.0</v>
      </c>
      <c r="E92" s="5">
        <v>6.0</v>
      </c>
      <c r="F92" s="5" t="s">
        <v>38</v>
      </c>
      <c r="G92" s="5">
        <v>4.92</v>
      </c>
      <c r="H92" s="5">
        <v>582.0</v>
      </c>
      <c r="I92" s="5">
        <v>0.25</v>
      </c>
      <c r="J92" s="5" t="s">
        <v>39</v>
      </c>
      <c r="K92" s="5">
        <v>584.0</v>
      </c>
      <c r="L92" s="5">
        <v>31.0</v>
      </c>
      <c r="M92" s="30">
        <v>14550.0</v>
      </c>
      <c r="N92" s="15" t="str">
        <f t="array" ref="N92">IFERROR(VLOOKUP(T92,Ref_sheet!$A$1:$B$8,2,FALSE))</f>
        <v/>
      </c>
      <c r="O92" s="12">
        <v>47.0</v>
      </c>
      <c r="P92" s="5" t="s">
        <v>51</v>
      </c>
      <c r="Q92" s="5"/>
      <c r="R92" s="5" t="s">
        <v>41</v>
      </c>
      <c r="S92" s="5"/>
      <c r="T92" s="5" t="s">
        <v>42</v>
      </c>
    </row>
    <row r="93">
      <c r="A93" s="25">
        <v>43866.0</v>
      </c>
      <c r="B93" s="28">
        <v>0.6097222222222223</v>
      </c>
      <c r="C93" s="5" t="s">
        <v>302</v>
      </c>
      <c r="D93" s="29">
        <v>43896.0</v>
      </c>
      <c r="E93" s="5">
        <v>26.5</v>
      </c>
      <c r="F93" s="5" t="s">
        <v>32</v>
      </c>
      <c r="G93" s="5">
        <v>28.31</v>
      </c>
      <c r="H93" s="5">
        <v>503.0</v>
      </c>
      <c r="I93" s="5">
        <v>0.9</v>
      </c>
      <c r="J93" s="5" t="s">
        <v>39</v>
      </c>
      <c r="K93" s="5">
        <v>503.0</v>
      </c>
      <c r="L93" s="5">
        <v>0.0</v>
      </c>
      <c r="M93" s="30">
        <v>45270.0</v>
      </c>
      <c r="N93" s="15" t="str">
        <f t="array" ref="N93">IFERROR(VLOOKUP(T93,Ref_sheet!$A$1:$B$8,2,FALSE))</f>
        <v/>
      </c>
      <c r="O93" s="12">
        <v>50.0</v>
      </c>
      <c r="P93" s="5" t="s">
        <v>64</v>
      </c>
      <c r="Q93" s="5"/>
      <c r="R93" s="5" t="s">
        <v>35</v>
      </c>
      <c r="S93" s="5"/>
      <c r="T93" s="5" t="s">
        <v>42</v>
      </c>
    </row>
    <row r="94">
      <c r="A94" s="25">
        <v>43866.0</v>
      </c>
      <c r="B94" s="28">
        <v>0.6090277777777777</v>
      </c>
      <c r="C94" s="5" t="s">
        <v>60</v>
      </c>
      <c r="D94" s="29">
        <v>43868.0</v>
      </c>
      <c r="E94" s="5">
        <v>2052.5</v>
      </c>
      <c r="F94" s="5" t="s">
        <v>38</v>
      </c>
      <c r="G94" s="5">
        <v>2049.61</v>
      </c>
      <c r="H94" s="5">
        <v>55.0</v>
      </c>
      <c r="I94" s="5">
        <v>13.87</v>
      </c>
      <c r="J94" s="5" t="s">
        <v>48</v>
      </c>
      <c r="K94" s="5">
        <v>669.0</v>
      </c>
      <c r="L94" s="5">
        <v>111.0</v>
      </c>
      <c r="M94" s="30">
        <v>76285.0</v>
      </c>
      <c r="N94" s="15" t="str">
        <f t="array" ref="N94">IFERROR(VLOOKUP(T94,Ref_sheet!$A$1:$B$8,2,FALSE))</f>
        <v/>
      </c>
      <c r="O94" s="12">
        <v>29.0</v>
      </c>
      <c r="P94" s="5" t="s">
        <v>51</v>
      </c>
      <c r="Q94" s="5"/>
      <c r="R94" s="5" t="s">
        <v>41</v>
      </c>
      <c r="S94" s="5"/>
      <c r="T94" s="5" t="s">
        <v>36</v>
      </c>
    </row>
    <row r="95">
      <c r="A95" s="25">
        <v>43866.0</v>
      </c>
      <c r="B95" s="28">
        <v>0.6090277777777777</v>
      </c>
      <c r="C95" s="5" t="s">
        <v>288</v>
      </c>
      <c r="D95" s="29">
        <v>43938.0</v>
      </c>
      <c r="E95" s="5">
        <v>13.0</v>
      </c>
      <c r="F95" s="5" t="s">
        <v>38</v>
      </c>
      <c r="G95" s="5">
        <v>13.19</v>
      </c>
      <c r="H95" s="5">
        <v>677.0</v>
      </c>
      <c r="I95" s="5">
        <v>1.15</v>
      </c>
      <c r="J95" s="5" t="s">
        <v>39</v>
      </c>
      <c r="K95" s="5">
        <v>681.0</v>
      </c>
      <c r="L95" s="5">
        <v>2251.0</v>
      </c>
      <c r="M95" s="30">
        <v>78100.0</v>
      </c>
      <c r="N95" s="15" t="str">
        <f t="array" ref="N95">IFERROR(VLOOKUP(T95,Ref_sheet!$A$1:$B$8,2,FALSE))</f>
        <v/>
      </c>
      <c r="O95" s="12">
        <v>30.0</v>
      </c>
      <c r="P95" s="5" t="s">
        <v>40</v>
      </c>
      <c r="Q95" s="5"/>
      <c r="R95" s="5" t="s">
        <v>41</v>
      </c>
      <c r="S95" s="5"/>
      <c r="T95" s="5" t="s">
        <v>46</v>
      </c>
    </row>
    <row r="96">
      <c r="A96" s="25">
        <v>43866.0</v>
      </c>
      <c r="B96" s="28">
        <v>0.6041666666666666</v>
      </c>
      <c r="C96" s="5" t="s">
        <v>308</v>
      </c>
      <c r="D96" s="29">
        <v>43910.0</v>
      </c>
      <c r="E96" s="5">
        <v>5.0</v>
      </c>
      <c r="F96" s="5" t="s">
        <v>38</v>
      </c>
      <c r="G96" s="5">
        <v>4.34</v>
      </c>
      <c r="H96" s="5">
        <v>754.0</v>
      </c>
      <c r="I96" s="5">
        <v>0.5</v>
      </c>
      <c r="J96" s="5" t="s">
        <v>39</v>
      </c>
      <c r="K96" s="5">
        <v>764.0</v>
      </c>
      <c r="L96" s="5">
        <v>2017.0</v>
      </c>
      <c r="M96" s="30">
        <v>37684.0</v>
      </c>
      <c r="N96" s="15" t="str">
        <f t="array" ref="N96">IFERROR(VLOOKUP(T96,Ref_sheet!$A$1:$B$8,2,FALSE))</f>
        <v/>
      </c>
      <c r="O96" s="12">
        <v>32.0</v>
      </c>
      <c r="P96" s="5" t="s">
        <v>40</v>
      </c>
      <c r="Q96" s="5"/>
      <c r="R96" s="5" t="s">
        <v>41</v>
      </c>
      <c r="S96" s="5"/>
      <c r="T96" s="5" t="s">
        <v>46</v>
      </c>
    </row>
    <row r="97">
      <c r="A97" s="25">
        <v>43866.0</v>
      </c>
      <c r="B97" s="28">
        <v>0.6041666666666666</v>
      </c>
      <c r="C97" s="5" t="s">
        <v>310</v>
      </c>
      <c r="D97" s="29">
        <v>43938.0</v>
      </c>
      <c r="E97" s="5">
        <v>40.0</v>
      </c>
      <c r="F97" s="5" t="s">
        <v>32</v>
      </c>
      <c r="G97" s="5">
        <v>44.48</v>
      </c>
      <c r="H97" s="5">
        <v>1000.0</v>
      </c>
      <c r="I97" s="5">
        <v>0.55</v>
      </c>
      <c r="J97" s="5" t="s">
        <v>48</v>
      </c>
      <c r="K97" s="5">
        <v>1002.0</v>
      </c>
      <c r="L97" s="5">
        <v>46.0</v>
      </c>
      <c r="M97" s="30">
        <v>55000.0</v>
      </c>
      <c r="N97" s="15" t="str">
        <f t="array" ref="N97">IFERROR(VLOOKUP(T97,Ref_sheet!$A$1:$B$8,2,FALSE))</f>
        <v/>
      </c>
      <c r="O97" s="12">
        <v>48.0</v>
      </c>
      <c r="P97" s="5" t="s">
        <v>313</v>
      </c>
      <c r="Q97" s="5"/>
      <c r="R97" s="5" t="s">
        <v>35</v>
      </c>
      <c r="S97" s="5"/>
      <c r="T97" s="5" t="s">
        <v>42</v>
      </c>
    </row>
    <row r="98">
      <c r="A98" s="25">
        <v>43866.0</v>
      </c>
      <c r="B98" s="28">
        <v>0.6027777777777777</v>
      </c>
      <c r="C98" s="5" t="s">
        <v>43</v>
      </c>
      <c r="D98" s="29">
        <v>44120.0</v>
      </c>
      <c r="E98" s="5">
        <v>24.0</v>
      </c>
      <c r="F98" s="5" t="s">
        <v>38</v>
      </c>
      <c r="G98" s="5">
        <v>19.84</v>
      </c>
      <c r="H98" s="5">
        <v>523.0</v>
      </c>
      <c r="I98" s="5">
        <v>0.72</v>
      </c>
      <c r="J98" s="5" t="s">
        <v>39</v>
      </c>
      <c r="K98" s="5">
        <v>12368.0</v>
      </c>
      <c r="L98" s="5">
        <v>4649.0</v>
      </c>
      <c r="M98" s="30">
        <v>37656.0</v>
      </c>
      <c r="N98" s="15" t="str">
        <f t="array" ref="N98">IFERROR(VLOOKUP(T98,Ref_sheet!$A$1:$B$8,2,FALSE))</f>
        <v/>
      </c>
      <c r="O98" s="12">
        <v>6.0</v>
      </c>
      <c r="P98" s="5" t="s">
        <v>34</v>
      </c>
      <c r="Q98" s="5"/>
      <c r="R98" s="5" t="s">
        <v>41</v>
      </c>
      <c r="S98" s="5"/>
      <c r="T98" s="5" t="s">
        <v>36</v>
      </c>
    </row>
    <row r="99">
      <c r="A99" s="25">
        <v>43866.0</v>
      </c>
      <c r="B99" s="28">
        <v>0.6027777777777777</v>
      </c>
      <c r="C99" s="5" t="s">
        <v>320</v>
      </c>
      <c r="D99" s="29">
        <v>43868.0</v>
      </c>
      <c r="E99" s="5">
        <v>128.0</v>
      </c>
      <c r="F99" s="5" t="s">
        <v>38</v>
      </c>
      <c r="G99" s="5">
        <v>127.13</v>
      </c>
      <c r="H99" s="5">
        <v>201.0</v>
      </c>
      <c r="I99" s="5">
        <v>5.8</v>
      </c>
      <c r="J99" s="5" t="s">
        <v>39</v>
      </c>
      <c r="K99" s="5">
        <v>320.0</v>
      </c>
      <c r="L99" s="5">
        <v>259.0</v>
      </c>
      <c r="M99" s="30">
        <v>116580.0</v>
      </c>
      <c r="N99" s="15" t="str">
        <f t="array" ref="N99">IFERROR(VLOOKUP(T99,Ref_sheet!$A$1:$B$8,2,FALSE))</f>
        <v/>
      </c>
      <c r="O99" s="12">
        <v>49.0</v>
      </c>
      <c r="P99" s="5" t="s">
        <v>40</v>
      </c>
      <c r="Q99" s="5"/>
      <c r="R99" s="5" t="s">
        <v>41</v>
      </c>
      <c r="S99" s="5"/>
      <c r="T99" s="5" t="s">
        <v>36</v>
      </c>
    </row>
    <row r="100">
      <c r="A100" s="25">
        <v>43866.0</v>
      </c>
      <c r="B100" s="28">
        <v>0.5993055555555555</v>
      </c>
      <c r="C100" s="5" t="s">
        <v>322</v>
      </c>
      <c r="D100" s="29">
        <v>43910.0</v>
      </c>
      <c r="E100" s="5">
        <v>120.0</v>
      </c>
      <c r="F100" s="5" t="s">
        <v>38</v>
      </c>
      <c r="G100" s="5">
        <v>116.69</v>
      </c>
      <c r="H100" s="5">
        <v>597.0</v>
      </c>
      <c r="I100" s="5">
        <v>1.9</v>
      </c>
      <c r="J100" s="5" t="s">
        <v>48</v>
      </c>
      <c r="K100" s="5">
        <v>3030.0</v>
      </c>
      <c r="L100" s="5">
        <v>8797.0</v>
      </c>
      <c r="M100" s="30">
        <v>113430.0</v>
      </c>
      <c r="N100" s="15" t="str">
        <f t="array" ref="N100">IFERROR(VLOOKUP(T100,Ref_sheet!$A$1:$B$8,2,FALSE))</f>
        <v/>
      </c>
      <c r="O100" s="12">
        <v>13.0</v>
      </c>
      <c r="P100" s="5" t="s">
        <v>51</v>
      </c>
      <c r="Q100" s="5"/>
      <c r="R100" s="5" t="s">
        <v>41</v>
      </c>
      <c r="S100" s="5"/>
      <c r="T100" s="5" t="s">
        <v>46</v>
      </c>
    </row>
    <row r="101">
      <c r="A101" s="25">
        <v>43866.0</v>
      </c>
      <c r="B101" s="28">
        <v>0.5965277777777778</v>
      </c>
      <c r="C101" s="5" t="s">
        <v>327</v>
      </c>
      <c r="D101" s="29">
        <v>43966.0</v>
      </c>
      <c r="E101" s="5">
        <v>10.0</v>
      </c>
      <c r="F101" s="5" t="s">
        <v>38</v>
      </c>
      <c r="G101" s="5">
        <v>9.35</v>
      </c>
      <c r="H101" s="5">
        <v>1000.0</v>
      </c>
      <c r="I101" s="5">
        <v>0.6</v>
      </c>
      <c r="J101" s="5" t="s">
        <v>48</v>
      </c>
      <c r="K101" s="5">
        <v>1000.0</v>
      </c>
      <c r="L101" s="5">
        <v>307.0</v>
      </c>
      <c r="M101" s="30">
        <v>60000.0</v>
      </c>
      <c r="N101" s="15" t="str">
        <f t="array" ref="N101">IFERROR(VLOOKUP(T101,Ref_sheet!$A$1:$B$8,2,FALSE))</f>
        <v/>
      </c>
      <c r="O101" s="12">
        <v>48.0</v>
      </c>
      <c r="P101" s="5" t="s">
        <v>162</v>
      </c>
      <c r="Q101" s="5"/>
      <c r="R101" s="5" t="s">
        <v>41</v>
      </c>
      <c r="S101" s="5"/>
      <c r="T101" s="5" t="s">
        <v>42</v>
      </c>
    </row>
    <row r="102">
      <c r="A102" s="25">
        <v>43866.0</v>
      </c>
      <c r="B102" s="28">
        <v>0.5965277777777778</v>
      </c>
      <c r="C102" s="5" t="s">
        <v>342</v>
      </c>
      <c r="D102" s="29">
        <v>44211.0</v>
      </c>
      <c r="E102" s="5">
        <v>20.0</v>
      </c>
      <c r="F102" s="5" t="s">
        <v>32</v>
      </c>
      <c r="G102" s="5">
        <v>25.69</v>
      </c>
      <c r="H102" s="5">
        <v>558.0</v>
      </c>
      <c r="I102" s="5">
        <v>1.22</v>
      </c>
      <c r="J102" s="5" t="s">
        <v>39</v>
      </c>
      <c r="K102" s="5">
        <v>560.0</v>
      </c>
      <c r="L102" s="5">
        <v>2364.0</v>
      </c>
      <c r="M102" s="30">
        <v>68076.0</v>
      </c>
      <c r="N102" s="15" t="str">
        <f t="array" ref="N102">IFERROR(VLOOKUP(T102,Ref_sheet!$A$1:$B$8,2,FALSE))</f>
        <v/>
      </c>
      <c r="O102" s="12">
        <v>29.0</v>
      </c>
      <c r="P102" s="5" t="s">
        <v>40</v>
      </c>
      <c r="Q102" s="5"/>
      <c r="R102" s="5" t="s">
        <v>35</v>
      </c>
      <c r="S102" s="5"/>
      <c r="T102" s="5" t="s">
        <v>46</v>
      </c>
    </row>
    <row r="103">
      <c r="A103" s="25">
        <v>43866.0</v>
      </c>
      <c r="B103" s="28">
        <v>0.5958333333333333</v>
      </c>
      <c r="C103" s="5" t="s">
        <v>335</v>
      </c>
      <c r="D103" s="29">
        <v>43882.0</v>
      </c>
      <c r="E103" s="5">
        <v>3.0</v>
      </c>
      <c r="F103" s="5" t="s">
        <v>38</v>
      </c>
      <c r="G103" s="5">
        <v>2.78</v>
      </c>
      <c r="H103" s="5">
        <v>600.0</v>
      </c>
      <c r="I103" s="5">
        <v>0.2</v>
      </c>
      <c r="J103" s="5" t="s">
        <v>39</v>
      </c>
      <c r="K103" s="5">
        <v>668.0</v>
      </c>
      <c r="L103" s="5">
        <v>12497.0</v>
      </c>
      <c r="M103" s="30">
        <v>11760.0</v>
      </c>
      <c r="N103" s="15" t="str">
        <f t="array" ref="N103">IFERROR(VLOOKUP(T103,Ref_sheet!$A$1:$B$8,2,FALSE))</f>
        <v/>
      </c>
      <c r="O103" s="12">
        <v>52.0</v>
      </c>
      <c r="P103" s="5" t="s">
        <v>40</v>
      </c>
      <c r="Q103" s="5" t="b">
        <v>1</v>
      </c>
      <c r="R103" s="5" t="s">
        <v>41</v>
      </c>
      <c r="S103" s="5"/>
      <c r="T103" s="5" t="s">
        <v>216</v>
      </c>
    </row>
    <row r="104">
      <c r="A104" s="25">
        <v>43866.0</v>
      </c>
      <c r="B104" s="28">
        <v>0.5930555555555556</v>
      </c>
      <c r="C104" s="5" t="s">
        <v>359</v>
      </c>
      <c r="D104" s="29">
        <v>43868.0</v>
      </c>
      <c r="E104" s="5">
        <v>29.5</v>
      </c>
      <c r="F104" s="5" t="s">
        <v>38</v>
      </c>
      <c r="G104" s="5">
        <v>29.28</v>
      </c>
      <c r="H104" s="5">
        <v>575.0</v>
      </c>
      <c r="I104" s="5">
        <v>0.25</v>
      </c>
      <c r="J104" s="5" t="s">
        <v>39</v>
      </c>
      <c r="K104" s="5">
        <v>575.0</v>
      </c>
      <c r="L104" s="5">
        <v>1.0</v>
      </c>
      <c r="M104" s="30">
        <v>14363.0</v>
      </c>
      <c r="N104" s="15" t="str">
        <f t="array" ref="N104">IFERROR(VLOOKUP(T104,Ref_sheet!$A$1:$B$8,2,FALSE))</f>
        <v/>
      </c>
      <c r="O104" s="12">
        <v>58.0</v>
      </c>
      <c r="P104" s="5" t="s">
        <v>51</v>
      </c>
      <c r="Q104" s="5"/>
      <c r="R104" s="5" t="s">
        <v>41</v>
      </c>
      <c r="S104" s="5"/>
      <c r="T104" s="5" t="s">
        <v>42</v>
      </c>
    </row>
    <row r="105">
      <c r="A105" s="25">
        <v>43866.0</v>
      </c>
      <c r="B105" s="28">
        <v>0.5916666666666667</v>
      </c>
      <c r="C105" s="5" t="s">
        <v>328</v>
      </c>
      <c r="D105" s="29">
        <v>43868.0</v>
      </c>
      <c r="E105" s="5">
        <v>330.0</v>
      </c>
      <c r="F105" s="5" t="s">
        <v>38</v>
      </c>
      <c r="G105" s="5">
        <v>327.06</v>
      </c>
      <c r="H105" s="5">
        <v>195.0</v>
      </c>
      <c r="I105" s="5">
        <v>2.0</v>
      </c>
      <c r="J105" s="5" t="s">
        <v>48</v>
      </c>
      <c r="K105" s="5">
        <v>9120.0</v>
      </c>
      <c r="L105" s="5">
        <v>3155.0</v>
      </c>
      <c r="M105" s="30">
        <v>39000.0</v>
      </c>
      <c r="N105" s="15" t="str">
        <f t="array" ref="N105">IFERROR(VLOOKUP(T105,Ref_sheet!$A$1:$B$8,2,FALSE))</f>
        <v/>
      </c>
      <c r="O105" s="12">
        <v>14.0</v>
      </c>
      <c r="P105" s="5" t="s">
        <v>182</v>
      </c>
      <c r="Q105" s="5"/>
      <c r="R105" s="5" t="s">
        <v>41</v>
      </c>
      <c r="S105" s="5"/>
      <c r="T105" s="5" t="s">
        <v>36</v>
      </c>
    </row>
    <row r="106">
      <c r="A106" s="25">
        <v>43866.0</v>
      </c>
      <c r="B106" s="28">
        <v>0.5909722222222222</v>
      </c>
      <c r="C106" s="5" t="s">
        <v>119</v>
      </c>
      <c r="D106" s="29">
        <v>43938.0</v>
      </c>
      <c r="E106" s="5">
        <v>159.0</v>
      </c>
      <c r="F106" s="5" t="s">
        <v>32</v>
      </c>
      <c r="G106" s="5">
        <v>166.96</v>
      </c>
      <c r="H106" s="5">
        <v>667.0</v>
      </c>
      <c r="I106" s="5">
        <v>2.11</v>
      </c>
      <c r="J106" s="5" t="s">
        <v>48</v>
      </c>
      <c r="K106" s="5">
        <v>10693.0</v>
      </c>
      <c r="L106" s="5">
        <v>6871.0</v>
      </c>
      <c r="M106" s="30">
        <v>140737.0</v>
      </c>
      <c r="N106" s="15" t="str">
        <f t="array" ref="N106">IFERROR(VLOOKUP(T106,Ref_sheet!$A$1:$B$8,2,FALSE))</f>
        <v/>
      </c>
      <c r="O106" s="12">
        <v>8.0</v>
      </c>
      <c r="P106" s="5" t="s">
        <v>34</v>
      </c>
      <c r="Q106" s="5"/>
      <c r="R106" s="5" t="s">
        <v>35</v>
      </c>
      <c r="S106" s="5"/>
      <c r="T106" s="5" t="s">
        <v>36</v>
      </c>
    </row>
    <row r="107">
      <c r="A107" s="25">
        <v>43866.0</v>
      </c>
      <c r="B107" s="28">
        <v>0.5902777777777778</v>
      </c>
      <c r="C107" s="5" t="s">
        <v>119</v>
      </c>
      <c r="D107" s="29">
        <v>43938.0</v>
      </c>
      <c r="E107" s="5">
        <v>159.0</v>
      </c>
      <c r="F107" s="5" t="s">
        <v>32</v>
      </c>
      <c r="G107" s="5">
        <v>166.97</v>
      </c>
      <c r="H107" s="5">
        <v>1160.0</v>
      </c>
      <c r="I107" s="5">
        <v>2.1</v>
      </c>
      <c r="J107" s="5" t="s">
        <v>39</v>
      </c>
      <c r="K107" s="5">
        <v>9360.0</v>
      </c>
      <c r="L107" s="5">
        <v>6871.0</v>
      </c>
      <c r="M107" s="30">
        <v>243600.0</v>
      </c>
      <c r="N107" s="15" t="str">
        <f t="array" ref="N107">IFERROR(VLOOKUP(T107,Ref_sheet!$A$1:$B$8,2,FALSE))</f>
        <v/>
      </c>
      <c r="O107" s="12">
        <v>12.0</v>
      </c>
      <c r="P107" s="5" t="s">
        <v>34</v>
      </c>
      <c r="Q107" s="5"/>
      <c r="R107" s="5" t="s">
        <v>35</v>
      </c>
      <c r="S107" s="5"/>
      <c r="T107" s="5" t="s">
        <v>36</v>
      </c>
    </row>
    <row r="108">
      <c r="A108" s="25">
        <v>43866.0</v>
      </c>
      <c r="B108" s="28">
        <v>0.5895833333333333</v>
      </c>
      <c r="C108" s="5" t="s">
        <v>119</v>
      </c>
      <c r="D108" s="29">
        <v>43938.0</v>
      </c>
      <c r="E108" s="5">
        <v>159.0</v>
      </c>
      <c r="F108" s="5" t="s">
        <v>32</v>
      </c>
      <c r="G108" s="5">
        <v>167.03</v>
      </c>
      <c r="H108" s="5">
        <v>1193.0</v>
      </c>
      <c r="I108" s="5">
        <v>2.09</v>
      </c>
      <c r="J108" s="5" t="s">
        <v>39</v>
      </c>
      <c r="K108" s="5">
        <v>8200.0</v>
      </c>
      <c r="L108" s="5">
        <v>6871.0</v>
      </c>
      <c r="M108" s="30">
        <v>249337.0</v>
      </c>
      <c r="N108" s="15" t="str">
        <f t="array" ref="N108">IFERROR(VLOOKUP(T108,Ref_sheet!$A$1:$B$8,2,FALSE))</f>
        <v/>
      </c>
      <c r="O108" s="12">
        <v>12.0</v>
      </c>
      <c r="P108" s="5" t="s">
        <v>34</v>
      </c>
      <c r="Q108" s="5"/>
      <c r="R108" s="5" t="s">
        <v>35</v>
      </c>
      <c r="S108" s="5"/>
      <c r="T108" s="5" t="s">
        <v>36</v>
      </c>
    </row>
    <row r="109">
      <c r="A109" s="25">
        <v>43866.0</v>
      </c>
      <c r="B109" s="28">
        <v>0.5895833333333333</v>
      </c>
      <c r="C109" s="5" t="s">
        <v>119</v>
      </c>
      <c r="D109" s="29">
        <v>43938.0</v>
      </c>
      <c r="E109" s="5">
        <v>159.0</v>
      </c>
      <c r="F109" s="5" t="s">
        <v>32</v>
      </c>
      <c r="G109" s="5">
        <v>167.0</v>
      </c>
      <c r="H109" s="5">
        <v>2072.0</v>
      </c>
      <c r="I109" s="5">
        <v>2.1</v>
      </c>
      <c r="J109" s="5" t="s">
        <v>39</v>
      </c>
      <c r="K109" s="5">
        <v>7007.0</v>
      </c>
      <c r="L109" s="5">
        <v>6871.0</v>
      </c>
      <c r="M109" s="30">
        <v>435120.0</v>
      </c>
      <c r="N109" s="15" t="str">
        <f t="array" ref="N109">IFERROR(VLOOKUP(T109,Ref_sheet!$A$1:$B$8,2,FALSE))</f>
        <v/>
      </c>
      <c r="O109" s="12">
        <v>18.0</v>
      </c>
      <c r="P109" s="5" t="s">
        <v>34</v>
      </c>
      <c r="Q109" s="5"/>
      <c r="R109" s="5" t="s">
        <v>35</v>
      </c>
      <c r="S109" s="5"/>
      <c r="T109" s="5" t="s">
        <v>36</v>
      </c>
    </row>
    <row r="110">
      <c r="A110" s="25">
        <v>43866.0</v>
      </c>
      <c r="B110" s="28">
        <v>0.5888888888888889</v>
      </c>
      <c r="C110" s="5" t="s">
        <v>382</v>
      </c>
      <c r="D110" s="29">
        <v>43875.0</v>
      </c>
      <c r="E110" s="5">
        <v>95.0</v>
      </c>
      <c r="F110" s="5" t="s">
        <v>32</v>
      </c>
      <c r="G110" s="5">
        <v>96.57</v>
      </c>
      <c r="H110" s="5">
        <v>549.0</v>
      </c>
      <c r="I110" s="5">
        <v>1.15</v>
      </c>
      <c r="J110" s="5" t="s">
        <v>48</v>
      </c>
      <c r="K110" s="5">
        <v>789.0</v>
      </c>
      <c r="L110" s="5">
        <v>13.0</v>
      </c>
      <c r="M110" s="30">
        <v>63135.0</v>
      </c>
      <c r="N110" s="15" t="str">
        <f t="array" ref="N110">IFERROR(VLOOKUP(T110,Ref_sheet!$A$1:$B$8,2,FALSE))</f>
        <v/>
      </c>
      <c r="O110" s="12">
        <v>51.0</v>
      </c>
      <c r="P110" s="5" t="s">
        <v>34</v>
      </c>
      <c r="Q110" s="5"/>
      <c r="R110" s="5" t="s">
        <v>35</v>
      </c>
      <c r="S110" s="5"/>
      <c r="T110" s="5" t="s">
        <v>42</v>
      </c>
    </row>
    <row r="111">
      <c r="A111" s="25">
        <v>43866.0</v>
      </c>
      <c r="B111" s="28">
        <v>0.5888888888888889</v>
      </c>
      <c r="C111" s="5" t="s">
        <v>133</v>
      </c>
      <c r="D111" s="29">
        <v>43882.0</v>
      </c>
      <c r="E111" s="5">
        <v>13.0</v>
      </c>
      <c r="F111" s="5" t="s">
        <v>38</v>
      </c>
      <c r="G111" s="5">
        <v>12.18</v>
      </c>
      <c r="H111" s="5">
        <v>600.0</v>
      </c>
      <c r="I111" s="5">
        <v>0.54</v>
      </c>
      <c r="J111" s="5" t="s">
        <v>39</v>
      </c>
      <c r="K111" s="5">
        <v>45807.0</v>
      </c>
      <c r="L111" s="5">
        <v>41433.0</v>
      </c>
      <c r="M111" s="30">
        <v>32400.0</v>
      </c>
      <c r="N111" s="15" t="str">
        <f t="array" ref="N111">IFERROR(VLOOKUP(T111,Ref_sheet!$A$1:$B$8,2,FALSE))</f>
        <v/>
      </c>
      <c r="O111" s="12">
        <v>9.0</v>
      </c>
      <c r="P111" s="5" t="s">
        <v>53</v>
      </c>
      <c r="Q111" s="5"/>
      <c r="R111" s="5" t="s">
        <v>41</v>
      </c>
      <c r="S111" s="5"/>
      <c r="T111" s="5" t="s">
        <v>36</v>
      </c>
    </row>
    <row r="112">
      <c r="A112" s="25">
        <v>43866.0</v>
      </c>
      <c r="B112" s="28">
        <v>0.5854166666666667</v>
      </c>
      <c r="C112" s="5" t="s">
        <v>320</v>
      </c>
      <c r="D112" s="29">
        <v>43882.0</v>
      </c>
      <c r="E112" s="5">
        <v>126.0</v>
      </c>
      <c r="F112" s="5" t="s">
        <v>32</v>
      </c>
      <c r="G112" s="5">
        <v>126.94</v>
      </c>
      <c r="H112" s="5">
        <v>170.0</v>
      </c>
      <c r="I112" s="5">
        <v>6.55</v>
      </c>
      <c r="J112" s="5" t="s">
        <v>39</v>
      </c>
      <c r="K112" s="5">
        <v>221.0</v>
      </c>
      <c r="L112" s="5">
        <v>140.0</v>
      </c>
      <c r="M112" s="30">
        <v>111350.0</v>
      </c>
      <c r="N112" s="15" t="str">
        <f t="array" ref="N112">IFERROR(VLOOKUP(T112,Ref_sheet!$A$1:$B$8,2,FALSE))</f>
        <v/>
      </c>
      <c r="O112" s="12">
        <v>53.0</v>
      </c>
      <c r="P112" s="5" t="s">
        <v>40</v>
      </c>
      <c r="Q112" s="5"/>
      <c r="R112" s="5" t="s">
        <v>35</v>
      </c>
      <c r="S112" s="5"/>
      <c r="T112" s="5" t="s">
        <v>42</v>
      </c>
    </row>
    <row r="113">
      <c r="A113" s="25">
        <v>43866.0</v>
      </c>
      <c r="B113" s="28">
        <v>0.5840277777777778</v>
      </c>
      <c r="C113" s="5" t="s">
        <v>390</v>
      </c>
      <c r="D113" s="29">
        <v>43882.0</v>
      </c>
      <c r="E113" s="5">
        <v>22.0</v>
      </c>
      <c r="F113" s="5" t="s">
        <v>38</v>
      </c>
      <c r="G113" s="5">
        <v>20.36</v>
      </c>
      <c r="H113" s="5">
        <v>708.0</v>
      </c>
      <c r="I113" s="5">
        <v>0.35</v>
      </c>
      <c r="J113" s="5" t="s">
        <v>48</v>
      </c>
      <c r="K113" s="5">
        <v>1544.0</v>
      </c>
      <c r="L113" s="5">
        <v>23440.0</v>
      </c>
      <c r="M113" s="30">
        <v>24780.0</v>
      </c>
      <c r="N113" s="15" t="str">
        <f t="array" ref="N113">IFERROR(VLOOKUP(T113,Ref_sheet!$A$1:$B$8,2,FALSE))</f>
        <v/>
      </c>
      <c r="O113" s="12">
        <v>43.0</v>
      </c>
      <c r="P113" s="5" t="s">
        <v>51</v>
      </c>
      <c r="Q113" s="5" t="b">
        <v>1</v>
      </c>
      <c r="R113" s="5" t="s">
        <v>41</v>
      </c>
      <c r="S113" s="5"/>
      <c r="T113" s="5" t="s">
        <v>216</v>
      </c>
    </row>
    <row r="114">
      <c r="A114" s="25">
        <v>43866.0</v>
      </c>
      <c r="B114" s="28">
        <v>0.5833333333333334</v>
      </c>
      <c r="C114" s="5" t="s">
        <v>176</v>
      </c>
      <c r="D114" s="29">
        <v>43910.0</v>
      </c>
      <c r="E114" s="5">
        <v>10.0</v>
      </c>
      <c r="F114" s="5" t="s">
        <v>32</v>
      </c>
      <c r="G114" s="5">
        <v>9.49</v>
      </c>
      <c r="H114" s="5">
        <v>944.0</v>
      </c>
      <c r="I114" s="5">
        <v>1.02</v>
      </c>
      <c r="J114" s="5" t="s">
        <v>39</v>
      </c>
      <c r="K114" s="5">
        <v>1293.0</v>
      </c>
      <c r="L114" s="5">
        <v>4256.0</v>
      </c>
      <c r="M114" s="30">
        <v>96288.0</v>
      </c>
      <c r="N114" s="15" t="str">
        <f t="array" ref="N114">IFERROR(VLOOKUP(T114,Ref_sheet!$A$1:$B$8,2,FALSE))</f>
        <v/>
      </c>
      <c r="O114" s="12">
        <v>25.0</v>
      </c>
      <c r="P114" s="5" t="s">
        <v>45</v>
      </c>
      <c r="Q114" s="5"/>
      <c r="R114" s="5" t="s">
        <v>35</v>
      </c>
      <c r="S114" s="5"/>
      <c r="T114" s="5" t="s">
        <v>46</v>
      </c>
    </row>
    <row r="115">
      <c r="A115" s="25">
        <v>43866.0</v>
      </c>
      <c r="B115" s="28">
        <v>0.5833333333333334</v>
      </c>
      <c r="C115" s="5" t="s">
        <v>391</v>
      </c>
      <c r="D115" s="29">
        <v>44211.0</v>
      </c>
      <c r="E115" s="5">
        <v>22.5</v>
      </c>
      <c r="F115" s="5" t="s">
        <v>32</v>
      </c>
      <c r="G115" s="5">
        <v>23.0</v>
      </c>
      <c r="H115" s="5">
        <v>1418.0</v>
      </c>
      <c r="I115" s="5">
        <v>3.5</v>
      </c>
      <c r="J115" s="5" t="s">
        <v>33</v>
      </c>
      <c r="K115" s="5">
        <v>1418.0</v>
      </c>
      <c r="L115" s="5">
        <v>1012.0</v>
      </c>
      <c r="M115" s="30">
        <v>496295.0</v>
      </c>
      <c r="N115" s="15" t="str">
        <f t="array" ref="N115">IFERROR(VLOOKUP(T115,Ref_sheet!$A$1:$B$8,2,FALSE))</f>
        <v/>
      </c>
      <c r="O115" s="12">
        <v>50.0</v>
      </c>
      <c r="P115" s="5" t="s">
        <v>53</v>
      </c>
      <c r="Q115" s="5"/>
      <c r="R115" s="5" t="s">
        <v>35</v>
      </c>
      <c r="S115" s="5"/>
      <c r="T115" s="5" t="s">
        <v>42</v>
      </c>
    </row>
    <row r="116">
      <c r="A116" s="25">
        <v>43866.0</v>
      </c>
      <c r="B116" s="28">
        <v>0.5826388888888889</v>
      </c>
      <c r="C116" s="5" t="s">
        <v>372</v>
      </c>
      <c r="D116" s="29">
        <v>43882.0</v>
      </c>
      <c r="E116" s="5">
        <v>27.0</v>
      </c>
      <c r="F116" s="5" t="s">
        <v>32</v>
      </c>
      <c r="G116" s="5">
        <v>29.3</v>
      </c>
      <c r="H116" s="5">
        <v>557.0</v>
      </c>
      <c r="I116" s="5">
        <v>0.49</v>
      </c>
      <c r="J116" s="5" t="s">
        <v>48</v>
      </c>
      <c r="K116" s="5">
        <v>2512.0</v>
      </c>
      <c r="L116" s="5">
        <v>167.0</v>
      </c>
      <c r="M116" s="30">
        <v>27293.0</v>
      </c>
      <c r="N116" s="15" t="str">
        <f t="array" ref="N116">IFERROR(VLOOKUP(T116,Ref_sheet!$A$1:$B$8,2,FALSE))</f>
        <v/>
      </c>
      <c r="O116" s="12">
        <v>37.0</v>
      </c>
      <c r="P116" s="5" t="s">
        <v>58</v>
      </c>
      <c r="Q116" s="5"/>
      <c r="R116" s="5" t="s">
        <v>35</v>
      </c>
      <c r="S116" s="5"/>
      <c r="T116" s="5" t="s">
        <v>42</v>
      </c>
    </row>
    <row r="117">
      <c r="A117" s="25">
        <v>43866.0</v>
      </c>
      <c r="B117" s="28">
        <v>0.5826388888888889</v>
      </c>
      <c r="C117" s="5" t="s">
        <v>133</v>
      </c>
      <c r="D117" s="29">
        <v>43882.0</v>
      </c>
      <c r="E117" s="5">
        <v>13.0</v>
      </c>
      <c r="F117" s="5" t="s">
        <v>38</v>
      </c>
      <c r="G117" s="5">
        <v>12.21</v>
      </c>
      <c r="H117" s="5">
        <v>502.0</v>
      </c>
      <c r="I117" s="5">
        <v>0.52</v>
      </c>
      <c r="J117" s="5" t="s">
        <v>39</v>
      </c>
      <c r="K117" s="5">
        <v>41802.0</v>
      </c>
      <c r="L117" s="5">
        <v>41433.0</v>
      </c>
      <c r="M117" s="30">
        <v>26293.0</v>
      </c>
      <c r="N117" s="15" t="str">
        <f t="array" ref="N117">IFERROR(VLOOKUP(T117,Ref_sheet!$A$1:$B$8,2,FALSE))</f>
        <v/>
      </c>
      <c r="O117" s="12">
        <v>9.0</v>
      </c>
      <c r="P117" s="5" t="s">
        <v>53</v>
      </c>
      <c r="Q117" s="5"/>
      <c r="R117" s="5" t="s">
        <v>41</v>
      </c>
      <c r="S117" s="5"/>
      <c r="T117" s="5" t="s">
        <v>36</v>
      </c>
    </row>
    <row r="118">
      <c r="A118" s="25">
        <v>43866.0</v>
      </c>
      <c r="B118" s="28">
        <v>0.5819444444444445</v>
      </c>
      <c r="C118" s="5" t="s">
        <v>372</v>
      </c>
      <c r="D118" s="29">
        <v>43882.0</v>
      </c>
      <c r="E118" s="5">
        <v>27.0</v>
      </c>
      <c r="F118" s="5" t="s">
        <v>32</v>
      </c>
      <c r="G118" s="5">
        <v>29.32</v>
      </c>
      <c r="H118" s="5">
        <v>1943.0</v>
      </c>
      <c r="I118" s="5">
        <v>0.49</v>
      </c>
      <c r="J118" s="5" t="s">
        <v>39</v>
      </c>
      <c r="K118" s="5">
        <v>1955.0</v>
      </c>
      <c r="L118" s="5">
        <v>167.0</v>
      </c>
      <c r="M118" s="30">
        <v>95207.0</v>
      </c>
      <c r="N118" s="15" t="str">
        <f t="array" ref="N118">IFERROR(VLOOKUP(T118,Ref_sheet!$A$1:$B$8,2,FALSE))</f>
        <v/>
      </c>
      <c r="O118" s="12">
        <v>55.0</v>
      </c>
      <c r="P118" s="5" t="s">
        <v>58</v>
      </c>
      <c r="Q118" s="5"/>
      <c r="R118" s="5" t="s">
        <v>35</v>
      </c>
      <c r="S118" s="5"/>
      <c r="T118" s="5" t="s">
        <v>42</v>
      </c>
    </row>
    <row r="119">
      <c r="A119" s="25">
        <v>43866.0</v>
      </c>
      <c r="B119" s="28">
        <v>0.5819444444444445</v>
      </c>
      <c r="C119" s="5" t="s">
        <v>124</v>
      </c>
      <c r="D119" s="29">
        <v>43910.0</v>
      </c>
      <c r="E119" s="5">
        <v>40.0</v>
      </c>
      <c r="F119" s="5" t="s">
        <v>38</v>
      </c>
      <c r="G119" s="5">
        <v>33.43</v>
      </c>
      <c r="H119" s="5">
        <v>1000.0</v>
      </c>
      <c r="I119" s="5">
        <v>0.44</v>
      </c>
      <c r="J119" s="5" t="s">
        <v>39</v>
      </c>
      <c r="K119" s="5">
        <v>6038.0</v>
      </c>
      <c r="L119" s="5">
        <v>13761.0</v>
      </c>
      <c r="M119" s="30">
        <v>44000.0</v>
      </c>
      <c r="N119" s="15" t="str">
        <f t="array" ref="N119">IFERROR(VLOOKUP(T119,Ref_sheet!$A$1:$B$8,2,FALSE))</f>
        <v/>
      </c>
      <c r="O119" s="12">
        <v>8.0</v>
      </c>
      <c r="P119" s="5" t="s">
        <v>40</v>
      </c>
      <c r="Q119" s="5"/>
      <c r="R119" s="5" t="s">
        <v>41</v>
      </c>
      <c r="S119" s="5"/>
      <c r="T119" s="5" t="s">
        <v>46</v>
      </c>
    </row>
    <row r="120">
      <c r="A120" s="25">
        <v>43866.0</v>
      </c>
      <c r="B120" s="28">
        <v>0.5819444444444445</v>
      </c>
      <c r="C120" s="5" t="s">
        <v>133</v>
      </c>
      <c r="D120" s="29">
        <v>43882.0</v>
      </c>
      <c r="E120" s="5">
        <v>13.0</v>
      </c>
      <c r="F120" s="5" t="s">
        <v>38</v>
      </c>
      <c r="G120" s="5">
        <v>12.21</v>
      </c>
      <c r="H120" s="5">
        <v>500.0</v>
      </c>
      <c r="I120" s="5">
        <v>0.52</v>
      </c>
      <c r="J120" s="5" t="s">
        <v>39</v>
      </c>
      <c r="K120" s="5">
        <v>41300.0</v>
      </c>
      <c r="L120" s="5">
        <v>41433.0</v>
      </c>
      <c r="M120" s="30">
        <v>25821.0</v>
      </c>
      <c r="N120" s="15" t="str">
        <f t="array" ref="N120">IFERROR(VLOOKUP(T120,Ref_sheet!$A$1:$B$8,2,FALSE))</f>
        <v/>
      </c>
      <c r="O120" s="12">
        <v>9.0</v>
      </c>
      <c r="P120" s="5" t="s">
        <v>53</v>
      </c>
      <c r="Q120" s="5"/>
      <c r="R120" s="5" t="s">
        <v>41</v>
      </c>
      <c r="S120" s="5"/>
      <c r="T120" s="5" t="s">
        <v>46</v>
      </c>
    </row>
    <row r="121">
      <c r="A121" s="25">
        <v>43866.0</v>
      </c>
      <c r="B121" s="28">
        <v>0.58125</v>
      </c>
      <c r="C121" s="5" t="s">
        <v>124</v>
      </c>
      <c r="D121" s="29">
        <v>43910.0</v>
      </c>
      <c r="E121" s="5">
        <v>40.0</v>
      </c>
      <c r="F121" s="5" t="s">
        <v>38</v>
      </c>
      <c r="G121" s="5">
        <v>33.41</v>
      </c>
      <c r="H121" s="5">
        <v>885.0</v>
      </c>
      <c r="I121" s="5">
        <v>0.43</v>
      </c>
      <c r="J121" s="5" t="s">
        <v>39</v>
      </c>
      <c r="K121" s="5">
        <v>4904.0</v>
      </c>
      <c r="L121" s="5">
        <v>13761.0</v>
      </c>
      <c r="M121" s="30">
        <v>38055.0</v>
      </c>
      <c r="N121" s="15" t="str">
        <f t="array" ref="N121">IFERROR(VLOOKUP(T121,Ref_sheet!$A$1:$B$8,2,FALSE))</f>
        <v/>
      </c>
      <c r="O121" s="12">
        <v>8.0</v>
      </c>
      <c r="P121" s="5" t="s">
        <v>40</v>
      </c>
      <c r="Q121" s="5"/>
      <c r="R121" s="5" t="s">
        <v>41</v>
      </c>
      <c r="S121" s="5"/>
      <c r="T121" s="5" t="s">
        <v>46</v>
      </c>
    </row>
    <row r="122">
      <c r="A122" s="25">
        <v>43866.0</v>
      </c>
      <c r="B122" s="28">
        <v>0.5798611111111112</v>
      </c>
      <c r="C122" s="5" t="s">
        <v>176</v>
      </c>
      <c r="D122" s="29">
        <v>43868.0</v>
      </c>
      <c r="E122" s="5">
        <v>9.5</v>
      </c>
      <c r="F122" s="5" t="s">
        <v>38</v>
      </c>
      <c r="G122" s="5">
        <v>9.49</v>
      </c>
      <c r="H122" s="5">
        <v>644.0</v>
      </c>
      <c r="I122" s="5">
        <v>0.19</v>
      </c>
      <c r="J122" s="5" t="s">
        <v>39</v>
      </c>
      <c r="K122" s="5">
        <v>3852.0</v>
      </c>
      <c r="L122" s="5">
        <v>7235.0</v>
      </c>
      <c r="M122" s="30">
        <v>12236.0</v>
      </c>
      <c r="N122" s="15" t="str">
        <f t="array" ref="N122">IFERROR(VLOOKUP(T122,Ref_sheet!$A$1:$B$8,2,FALSE))</f>
        <v/>
      </c>
      <c r="O122" s="12">
        <v>18.0</v>
      </c>
      <c r="P122" s="5" t="s">
        <v>45</v>
      </c>
      <c r="Q122" s="5"/>
      <c r="R122" s="5" t="s">
        <v>41</v>
      </c>
      <c r="S122" s="5"/>
      <c r="T122" s="5" t="s">
        <v>46</v>
      </c>
    </row>
    <row r="123">
      <c r="A123" s="25">
        <v>43866.0</v>
      </c>
      <c r="B123" s="28">
        <v>0.5798611111111112</v>
      </c>
      <c r="C123" s="5" t="s">
        <v>176</v>
      </c>
      <c r="D123" s="29">
        <v>43875.0</v>
      </c>
      <c r="E123" s="5">
        <v>10.0</v>
      </c>
      <c r="F123" s="5" t="s">
        <v>38</v>
      </c>
      <c r="G123" s="5">
        <v>9.47</v>
      </c>
      <c r="H123" s="5">
        <v>3482.0</v>
      </c>
      <c r="I123" s="5">
        <v>0.16</v>
      </c>
      <c r="J123" s="5" t="s">
        <v>39</v>
      </c>
      <c r="K123" s="5">
        <v>8086.0</v>
      </c>
      <c r="L123" s="5">
        <v>3710.0</v>
      </c>
      <c r="M123" s="30">
        <v>55712.0</v>
      </c>
      <c r="N123" s="15" t="str">
        <f t="array" ref="N123">IFERROR(VLOOKUP(T123,Ref_sheet!$A$1:$B$8,2,FALSE))</f>
        <v/>
      </c>
      <c r="O123" s="12">
        <v>45.0</v>
      </c>
      <c r="P123" s="5" t="s">
        <v>45</v>
      </c>
      <c r="Q123" s="5"/>
      <c r="R123" s="5" t="s">
        <v>41</v>
      </c>
      <c r="S123" s="5"/>
      <c r="T123" s="5" t="s">
        <v>36</v>
      </c>
    </row>
    <row r="124">
      <c r="A124" s="25">
        <v>43866.0</v>
      </c>
      <c r="B124" s="28">
        <v>0.5791666666666667</v>
      </c>
      <c r="C124" s="5" t="s">
        <v>70</v>
      </c>
      <c r="D124" s="29">
        <v>43910.0</v>
      </c>
      <c r="E124" s="5">
        <v>38.0</v>
      </c>
      <c r="F124" s="5" t="s">
        <v>38</v>
      </c>
      <c r="G124" s="5">
        <v>32.37</v>
      </c>
      <c r="H124" s="5">
        <v>263.0</v>
      </c>
      <c r="I124" s="5">
        <v>1.7</v>
      </c>
      <c r="J124" s="5" t="s">
        <v>39</v>
      </c>
      <c r="K124" s="5">
        <v>3524.0</v>
      </c>
      <c r="L124" s="5">
        <v>2056.0</v>
      </c>
      <c r="M124" s="30">
        <v>44710.0</v>
      </c>
      <c r="N124" s="15" t="str">
        <f t="array" ref="N124">IFERROR(VLOOKUP(T124,Ref_sheet!$A$1:$B$8,2,FALSE))</f>
        <v/>
      </c>
      <c r="O124" s="12">
        <v>8.0</v>
      </c>
      <c r="P124" s="5" t="s">
        <v>58</v>
      </c>
      <c r="Q124" s="5"/>
      <c r="R124" s="5" t="s">
        <v>41</v>
      </c>
      <c r="S124" s="5"/>
      <c r="T124" s="5" t="s">
        <v>36</v>
      </c>
    </row>
    <row r="125">
      <c r="A125" s="25">
        <v>43866.0</v>
      </c>
      <c r="B125" s="28">
        <v>0.5798611111111112</v>
      </c>
      <c r="C125" s="5" t="s">
        <v>176</v>
      </c>
      <c r="D125" s="29">
        <v>43875.0</v>
      </c>
      <c r="E125" s="5">
        <v>10.0</v>
      </c>
      <c r="F125" s="5" t="s">
        <v>38</v>
      </c>
      <c r="G125" s="5">
        <v>9.46</v>
      </c>
      <c r="H125" s="5">
        <v>1355.0</v>
      </c>
      <c r="I125" s="5">
        <v>0.15</v>
      </c>
      <c r="J125" s="5" t="s">
        <v>39</v>
      </c>
      <c r="K125" s="5">
        <v>4441.0</v>
      </c>
      <c r="L125" s="5">
        <v>3710.0</v>
      </c>
      <c r="M125" s="30">
        <v>20325.0</v>
      </c>
      <c r="N125" s="15" t="str">
        <f t="array" ref="N125">IFERROR(VLOOKUP(T125,Ref_sheet!$A$1:$B$8,2,FALSE))</f>
        <v/>
      </c>
      <c r="O125" s="12">
        <v>25.0</v>
      </c>
      <c r="P125" s="5" t="s">
        <v>45</v>
      </c>
      <c r="Q125" s="5"/>
      <c r="R125" s="5" t="s">
        <v>41</v>
      </c>
      <c r="S125" s="5"/>
      <c r="T125" s="5" t="s">
        <v>36</v>
      </c>
    </row>
    <row r="126">
      <c r="A126" s="25">
        <v>43866.0</v>
      </c>
      <c r="B126" s="28">
        <v>0.5777777777777777</v>
      </c>
      <c r="C126" s="5" t="s">
        <v>60</v>
      </c>
      <c r="D126" s="29">
        <v>43882.0</v>
      </c>
      <c r="E126" s="5">
        <v>2100.0</v>
      </c>
      <c r="F126" s="5" t="s">
        <v>38</v>
      </c>
      <c r="G126" s="5">
        <v>2042.08</v>
      </c>
      <c r="H126" s="5">
        <v>98.0</v>
      </c>
      <c r="I126" s="5">
        <v>17.35</v>
      </c>
      <c r="J126" s="5" t="s">
        <v>48</v>
      </c>
      <c r="K126" s="5">
        <v>2808.0</v>
      </c>
      <c r="L126" s="5">
        <v>4139.0</v>
      </c>
      <c r="M126" s="30">
        <v>170030.0</v>
      </c>
      <c r="N126" s="15" t="str">
        <f t="array" ref="N126">IFERROR(VLOOKUP(T126,Ref_sheet!$A$1:$B$8,2,FALSE))</f>
        <v/>
      </c>
      <c r="O126" s="12">
        <v>14.0</v>
      </c>
      <c r="P126" s="5" t="s">
        <v>51</v>
      </c>
      <c r="Q126" s="5"/>
      <c r="R126" s="5" t="s">
        <v>41</v>
      </c>
      <c r="S126" s="5"/>
      <c r="T126" s="5" t="s">
        <v>46</v>
      </c>
    </row>
    <row r="127">
      <c r="A127" s="25">
        <v>43866.0</v>
      </c>
      <c r="B127" s="28">
        <v>0.5777777777777777</v>
      </c>
      <c r="C127" s="5" t="s">
        <v>274</v>
      </c>
      <c r="D127" s="29">
        <v>43882.0</v>
      </c>
      <c r="E127" s="5">
        <v>17.5</v>
      </c>
      <c r="F127" s="5" t="s">
        <v>38</v>
      </c>
      <c r="G127" s="5">
        <v>16.04</v>
      </c>
      <c r="H127" s="5">
        <v>1543.0</v>
      </c>
      <c r="I127" s="5">
        <v>0.55</v>
      </c>
      <c r="J127" s="5" t="s">
        <v>48</v>
      </c>
      <c r="K127" s="5">
        <v>1720.0</v>
      </c>
      <c r="L127" s="5">
        <v>226.0</v>
      </c>
      <c r="M127" s="30">
        <v>84865.0</v>
      </c>
      <c r="N127" s="15" t="str">
        <f t="array" ref="N127">IFERROR(VLOOKUP(T127,Ref_sheet!$A$1:$B$8,2,FALSE))</f>
        <v/>
      </c>
      <c r="O127" s="12">
        <v>78.0</v>
      </c>
      <c r="P127" s="5" t="s">
        <v>51</v>
      </c>
      <c r="Q127" s="5" t="b">
        <v>1</v>
      </c>
      <c r="R127" s="5" t="s">
        <v>41</v>
      </c>
      <c r="S127" s="5"/>
      <c r="T127" s="5" t="s">
        <v>66</v>
      </c>
    </row>
    <row r="128">
      <c r="A128" s="25">
        <v>43866.0</v>
      </c>
      <c r="B128" s="28">
        <v>0.5770833333333333</v>
      </c>
      <c r="C128" s="5" t="s">
        <v>49</v>
      </c>
      <c r="D128" s="29">
        <v>43896.0</v>
      </c>
      <c r="E128" s="5">
        <v>233.0</v>
      </c>
      <c r="F128" s="5" t="s">
        <v>38</v>
      </c>
      <c r="G128" s="5">
        <v>227.78</v>
      </c>
      <c r="H128" s="5">
        <v>581.0</v>
      </c>
      <c r="I128" s="5">
        <v>1.95</v>
      </c>
      <c r="J128" s="5" t="s">
        <v>48</v>
      </c>
      <c r="K128" s="5">
        <v>2397.0</v>
      </c>
      <c r="L128" s="5">
        <v>335.0</v>
      </c>
      <c r="M128" s="30">
        <v>113295.0</v>
      </c>
      <c r="N128" s="15" t="str">
        <f t="array" ref="N128">IFERROR(VLOOKUP(T128,Ref_sheet!$A$1:$B$8,2,FALSE))</f>
        <v/>
      </c>
      <c r="O128" s="12">
        <v>40.0</v>
      </c>
      <c r="P128" s="5" t="s">
        <v>34</v>
      </c>
      <c r="Q128" s="5"/>
      <c r="R128" s="5" t="s">
        <v>41</v>
      </c>
      <c r="S128" s="5"/>
      <c r="T128" s="5" t="s">
        <v>42</v>
      </c>
    </row>
    <row r="129">
      <c r="A129" s="25">
        <v>43866.0</v>
      </c>
      <c r="B129" s="28">
        <v>0.5770833333333333</v>
      </c>
      <c r="C129" s="5" t="s">
        <v>392</v>
      </c>
      <c r="D129" s="29">
        <v>43889.0</v>
      </c>
      <c r="E129" s="5">
        <v>38.5</v>
      </c>
      <c r="F129" s="5" t="s">
        <v>38</v>
      </c>
      <c r="G129" s="5">
        <v>37.77</v>
      </c>
      <c r="H129" s="5">
        <v>954.0</v>
      </c>
      <c r="I129" s="5">
        <v>0.32</v>
      </c>
      <c r="J129" s="5" t="s">
        <v>39</v>
      </c>
      <c r="K129" s="5">
        <v>5068.0</v>
      </c>
      <c r="L129" s="5">
        <v>2397.0</v>
      </c>
      <c r="M129" s="30">
        <v>30528.0</v>
      </c>
      <c r="N129" s="15" t="str">
        <f t="array" ref="N129">IFERROR(VLOOKUP(T129,Ref_sheet!$A$1:$B$8,2,FALSE))</f>
        <v/>
      </c>
      <c r="O129" s="12">
        <v>19.0</v>
      </c>
      <c r="P129" s="5" t="s">
        <v>393</v>
      </c>
      <c r="Q129" s="5"/>
      <c r="R129" s="5" t="s">
        <v>41</v>
      </c>
      <c r="S129" s="5"/>
      <c r="T129" s="5" t="s">
        <v>36</v>
      </c>
    </row>
    <row r="130">
      <c r="A130" s="25">
        <v>43866.0</v>
      </c>
      <c r="B130" s="28">
        <v>0.5763888888888888</v>
      </c>
      <c r="C130" s="5" t="s">
        <v>49</v>
      </c>
      <c r="D130" s="29">
        <v>43896.0</v>
      </c>
      <c r="E130" s="5">
        <v>233.0</v>
      </c>
      <c r="F130" s="5" t="s">
        <v>38</v>
      </c>
      <c r="G130" s="5">
        <v>227.81</v>
      </c>
      <c r="H130" s="5">
        <v>1054.0</v>
      </c>
      <c r="I130" s="5">
        <v>1.95</v>
      </c>
      <c r="J130" s="5" t="s">
        <v>39</v>
      </c>
      <c r="K130" s="5">
        <v>1432.0</v>
      </c>
      <c r="L130" s="5">
        <v>335.0</v>
      </c>
      <c r="M130" s="30">
        <v>205530.0</v>
      </c>
      <c r="N130" s="15" t="str">
        <f t="array" ref="N130">IFERROR(VLOOKUP(T130,Ref_sheet!$A$1:$B$8,2,FALSE))</f>
        <v/>
      </c>
      <c r="O130" s="12">
        <v>52.0</v>
      </c>
      <c r="P130" s="5" t="s">
        <v>34</v>
      </c>
      <c r="Q130" s="5"/>
      <c r="R130" s="5" t="s">
        <v>41</v>
      </c>
      <c r="S130" s="5"/>
      <c r="T130" s="5" t="s">
        <v>42</v>
      </c>
    </row>
    <row r="131">
      <c r="A131" s="25">
        <v>43866.0</v>
      </c>
      <c r="B131" s="28">
        <v>0.5763888888888888</v>
      </c>
      <c r="C131" s="5" t="s">
        <v>56</v>
      </c>
      <c r="D131" s="29">
        <v>43921.0</v>
      </c>
      <c r="E131" s="5">
        <v>55.0</v>
      </c>
      <c r="F131" s="5" t="s">
        <v>38</v>
      </c>
      <c r="G131" s="5">
        <v>54.93</v>
      </c>
      <c r="H131" s="5">
        <v>2644.0</v>
      </c>
      <c r="I131" s="5">
        <v>1.7</v>
      </c>
      <c r="J131" s="5" t="s">
        <v>48</v>
      </c>
      <c r="K131" s="5">
        <v>20796.0</v>
      </c>
      <c r="L131" s="5">
        <v>301.0</v>
      </c>
      <c r="M131" s="30">
        <v>449480.0</v>
      </c>
      <c r="N131" s="15" t="str">
        <f t="array" ref="N131">IFERROR(VLOOKUP(T131,Ref_sheet!$A$1:$B$8,2,FALSE))</f>
        <v/>
      </c>
      <c r="O131" s="12">
        <v>37.0</v>
      </c>
      <c r="P131" s="5" t="s">
        <v>34</v>
      </c>
      <c r="Q131" s="5"/>
      <c r="R131" s="5" t="s">
        <v>41</v>
      </c>
      <c r="S131" s="5"/>
      <c r="T131" s="5" t="s">
        <v>42</v>
      </c>
    </row>
    <row r="132">
      <c r="A132" s="25">
        <v>43866.0</v>
      </c>
      <c r="B132" s="28">
        <v>0.5763888888888888</v>
      </c>
      <c r="C132" s="5" t="s">
        <v>43</v>
      </c>
      <c r="D132" s="29">
        <v>43903.0</v>
      </c>
      <c r="E132" s="5">
        <v>19.5</v>
      </c>
      <c r="F132" s="5" t="s">
        <v>32</v>
      </c>
      <c r="G132" s="5">
        <v>19.94</v>
      </c>
      <c r="H132" s="5">
        <v>541.0</v>
      </c>
      <c r="I132" s="5">
        <v>0.64</v>
      </c>
      <c r="J132" s="5" t="s">
        <v>39</v>
      </c>
      <c r="K132" s="5">
        <v>644.0</v>
      </c>
      <c r="L132" s="5">
        <v>5.0</v>
      </c>
      <c r="M132" s="30">
        <v>34624.0</v>
      </c>
      <c r="N132" s="15" t="str">
        <f t="array" ref="N132">IFERROR(VLOOKUP(T132,Ref_sheet!$A$1:$B$8,2,FALSE))</f>
        <v/>
      </c>
      <c r="O132" s="12">
        <v>45.0</v>
      </c>
      <c r="P132" s="5" t="s">
        <v>34</v>
      </c>
      <c r="Q132" s="5"/>
      <c r="R132" s="5" t="s">
        <v>35</v>
      </c>
      <c r="S132" s="5"/>
      <c r="T132" s="5" t="s">
        <v>42</v>
      </c>
    </row>
    <row r="133">
      <c r="A133" s="25">
        <v>43866.0</v>
      </c>
      <c r="B133" s="28">
        <v>0.5743055555555555</v>
      </c>
      <c r="C133" s="5" t="s">
        <v>331</v>
      </c>
      <c r="D133" s="29">
        <v>43868.0</v>
      </c>
      <c r="E133" s="5">
        <v>49.0</v>
      </c>
      <c r="F133" s="5" t="s">
        <v>38</v>
      </c>
      <c r="G133" s="5">
        <v>48.03</v>
      </c>
      <c r="H133" s="5">
        <v>509.0</v>
      </c>
      <c r="I133" s="5">
        <v>0.68</v>
      </c>
      <c r="J133" s="5" t="s">
        <v>39</v>
      </c>
      <c r="K133" s="5">
        <v>1624.0</v>
      </c>
      <c r="L133" s="5">
        <v>2052.0</v>
      </c>
      <c r="M133" s="30">
        <v>34612.0</v>
      </c>
      <c r="N133" s="15" t="str">
        <f t="array" ref="N133">IFERROR(VLOOKUP(T133,Ref_sheet!$A$1:$B$8,2,FALSE))</f>
        <v/>
      </c>
      <c r="O133" s="12">
        <v>25.0</v>
      </c>
      <c r="P133" s="5" t="s">
        <v>40</v>
      </c>
      <c r="Q133" s="5"/>
      <c r="R133" s="5" t="s">
        <v>41</v>
      </c>
      <c r="S133" s="5"/>
      <c r="T133" s="5" t="s">
        <v>46</v>
      </c>
    </row>
    <row r="134">
      <c r="A134" s="25">
        <v>43866.0</v>
      </c>
      <c r="B134" s="28">
        <v>0.5743055555555555</v>
      </c>
      <c r="C134" s="5" t="s">
        <v>62</v>
      </c>
      <c r="D134" s="29">
        <v>43938.0</v>
      </c>
      <c r="E134" s="5">
        <v>180.0</v>
      </c>
      <c r="F134" s="5" t="s">
        <v>38</v>
      </c>
      <c r="G134" s="5">
        <v>179.33</v>
      </c>
      <c r="H134" s="5">
        <v>1000.0</v>
      </c>
      <c r="I134" s="5">
        <v>6.7</v>
      </c>
      <c r="J134" s="5" t="s">
        <v>48</v>
      </c>
      <c r="K134" s="5">
        <v>5807.0</v>
      </c>
      <c r="L134" s="5">
        <v>12076.0</v>
      </c>
      <c r="M134" s="30">
        <v>670000.0</v>
      </c>
      <c r="N134" s="15" t="str">
        <f t="array" ref="N134">IFERROR(VLOOKUP(T134,Ref_sheet!$A$1:$B$8,2,FALSE))</f>
        <v/>
      </c>
      <c r="O134" s="12">
        <v>11.0</v>
      </c>
      <c r="P134" s="5" t="s">
        <v>40</v>
      </c>
      <c r="Q134" s="5"/>
      <c r="R134" s="5" t="s">
        <v>41</v>
      </c>
      <c r="S134" s="5"/>
      <c r="T134" s="5" t="s">
        <v>46</v>
      </c>
    </row>
    <row r="135">
      <c r="A135" s="25">
        <v>43866.0</v>
      </c>
      <c r="B135" s="28">
        <v>0.5743055555555555</v>
      </c>
      <c r="C135" s="5" t="s">
        <v>185</v>
      </c>
      <c r="D135" s="29">
        <v>43882.0</v>
      </c>
      <c r="E135" s="5">
        <v>8.0</v>
      </c>
      <c r="F135" s="5" t="s">
        <v>32</v>
      </c>
      <c r="G135" s="5">
        <v>7.93</v>
      </c>
      <c r="H135" s="5">
        <v>686.0</v>
      </c>
      <c r="I135" s="5">
        <v>0.25</v>
      </c>
      <c r="J135" s="5" t="s">
        <v>39</v>
      </c>
      <c r="K135" s="5">
        <v>1461.0</v>
      </c>
      <c r="L135" s="5">
        <v>24925.0</v>
      </c>
      <c r="M135" s="30">
        <v>17150.0</v>
      </c>
      <c r="N135" s="15" t="str">
        <f t="array" ref="N135">IFERROR(VLOOKUP(T135,Ref_sheet!$A$1:$B$8,2,FALSE))</f>
        <v/>
      </c>
      <c r="O135" s="12">
        <v>18.0</v>
      </c>
      <c r="P135" s="5" t="s">
        <v>162</v>
      </c>
      <c r="Q135" s="5"/>
      <c r="R135" s="5" t="s">
        <v>35</v>
      </c>
      <c r="S135" s="5"/>
      <c r="T135" s="5" t="s">
        <v>46</v>
      </c>
    </row>
    <row r="136">
      <c r="A136" s="25">
        <v>43866.0</v>
      </c>
      <c r="B136" s="28">
        <v>0.5736111111111111</v>
      </c>
      <c r="C136" s="5" t="s">
        <v>364</v>
      </c>
      <c r="D136" s="29">
        <v>43868.0</v>
      </c>
      <c r="E136" s="5">
        <v>160.0</v>
      </c>
      <c r="F136" s="5" t="s">
        <v>38</v>
      </c>
      <c r="G136" s="5">
        <v>161.45</v>
      </c>
      <c r="H136" s="5">
        <v>172.0</v>
      </c>
      <c r="I136" s="5">
        <v>2.21</v>
      </c>
      <c r="J136" s="5" t="s">
        <v>39</v>
      </c>
      <c r="K136" s="5">
        <v>1904.0</v>
      </c>
      <c r="L136" s="5">
        <v>872.0</v>
      </c>
      <c r="M136" s="30">
        <v>38012.0</v>
      </c>
      <c r="N136" s="15" t="str">
        <f t="array" ref="N136">IFERROR(VLOOKUP(T136,Ref_sheet!$A$1:$B$8,2,FALSE))</f>
        <v/>
      </c>
      <c r="O136" s="12">
        <v>19.0</v>
      </c>
      <c r="P136" s="5" t="s">
        <v>182</v>
      </c>
      <c r="Q136" s="5"/>
      <c r="R136" s="5" t="s">
        <v>41</v>
      </c>
      <c r="S136" s="5"/>
      <c r="T136" s="5" t="s">
        <v>36</v>
      </c>
    </row>
    <row r="137">
      <c r="A137" s="25">
        <v>43866.0</v>
      </c>
      <c r="B137" s="28">
        <v>0.5736111111111111</v>
      </c>
      <c r="C137" s="5" t="s">
        <v>364</v>
      </c>
      <c r="D137" s="29">
        <v>43868.0</v>
      </c>
      <c r="E137" s="5">
        <v>160.0</v>
      </c>
      <c r="F137" s="5" t="s">
        <v>38</v>
      </c>
      <c r="G137" s="5">
        <v>161.44</v>
      </c>
      <c r="H137" s="5">
        <v>145.0</v>
      </c>
      <c r="I137" s="5">
        <v>2.17</v>
      </c>
      <c r="J137" s="5" t="s">
        <v>39</v>
      </c>
      <c r="K137" s="5">
        <v>1732.0</v>
      </c>
      <c r="L137" s="5">
        <v>872.0</v>
      </c>
      <c r="M137" s="30">
        <v>31494.0</v>
      </c>
      <c r="N137" s="15" t="str">
        <f t="array" ref="N137">IFERROR(VLOOKUP(T137,Ref_sheet!$A$1:$B$8,2,FALSE))</f>
        <v/>
      </c>
      <c r="O137" s="12">
        <v>18.0</v>
      </c>
      <c r="P137" s="5" t="s">
        <v>182</v>
      </c>
      <c r="Q137" s="5"/>
      <c r="R137" s="5" t="s">
        <v>41</v>
      </c>
      <c r="S137" s="5"/>
      <c r="T137" s="5" t="s">
        <v>36</v>
      </c>
    </row>
    <row r="138">
      <c r="A138" s="25">
        <v>43866.0</v>
      </c>
      <c r="B138" s="28">
        <v>0.5708333333333333</v>
      </c>
      <c r="C138" s="5" t="s">
        <v>403</v>
      </c>
      <c r="D138" s="29">
        <v>43882.0</v>
      </c>
      <c r="E138" s="5">
        <v>25.0</v>
      </c>
      <c r="F138" s="5" t="s">
        <v>38</v>
      </c>
      <c r="G138" s="5">
        <v>26.88</v>
      </c>
      <c r="H138" s="5">
        <v>1236.0</v>
      </c>
      <c r="I138" s="5">
        <v>2.1</v>
      </c>
      <c r="J138" s="5" t="s">
        <v>48</v>
      </c>
      <c r="K138" s="5">
        <v>2493.0</v>
      </c>
      <c r="L138" s="5">
        <v>2602.0</v>
      </c>
      <c r="M138" s="30">
        <v>259560.0</v>
      </c>
      <c r="N138" s="15" t="str">
        <f t="array" ref="N138">IFERROR(VLOOKUP(T138,Ref_sheet!$A$1:$B$8,2,FALSE))</f>
        <v/>
      </c>
      <c r="O138" s="12">
        <v>37.0</v>
      </c>
      <c r="P138" s="5" t="s">
        <v>182</v>
      </c>
      <c r="Q138" s="5"/>
      <c r="R138" s="5" t="s">
        <v>41</v>
      </c>
      <c r="S138" s="5"/>
      <c r="T138" s="5" t="s">
        <v>46</v>
      </c>
    </row>
    <row r="139">
      <c r="A139" s="25">
        <v>43866.0</v>
      </c>
      <c r="B139" s="28">
        <v>0.5659722222222222</v>
      </c>
      <c r="C139" s="5" t="s">
        <v>184</v>
      </c>
      <c r="D139" s="29">
        <v>43882.0</v>
      </c>
      <c r="E139" s="5">
        <v>85.0</v>
      </c>
      <c r="F139" s="5" t="s">
        <v>38</v>
      </c>
      <c r="G139" s="5">
        <v>80.24</v>
      </c>
      <c r="H139" s="5">
        <v>502.0</v>
      </c>
      <c r="I139" s="5">
        <v>2.35</v>
      </c>
      <c r="J139" s="5" t="s">
        <v>39</v>
      </c>
      <c r="K139" s="5">
        <v>538.0</v>
      </c>
      <c r="L139" s="5">
        <v>56.0</v>
      </c>
      <c r="M139" s="30">
        <v>117970.0</v>
      </c>
      <c r="N139" s="15" t="str">
        <f t="array" ref="N139">IFERROR(VLOOKUP(T139,Ref_sheet!$A$1:$B$8,2,FALSE))</f>
        <v/>
      </c>
      <c r="O139" s="12">
        <v>56.0</v>
      </c>
      <c r="P139" s="5" t="s">
        <v>51</v>
      </c>
      <c r="Q139" s="5"/>
      <c r="R139" s="5" t="s">
        <v>41</v>
      </c>
      <c r="S139" s="5"/>
      <c r="T139" s="5" t="s">
        <v>42</v>
      </c>
    </row>
    <row r="140">
      <c r="A140" s="25">
        <v>43866.0</v>
      </c>
      <c r="B140" s="28">
        <v>0.5645833333333333</v>
      </c>
      <c r="C140" s="5" t="s">
        <v>62</v>
      </c>
      <c r="D140" s="29">
        <v>43910.0</v>
      </c>
      <c r="E140" s="5">
        <v>185.0</v>
      </c>
      <c r="F140" s="5" t="s">
        <v>38</v>
      </c>
      <c r="G140" s="5">
        <v>179.01</v>
      </c>
      <c r="H140" s="5">
        <v>500.0</v>
      </c>
      <c r="I140" s="5">
        <v>3.24</v>
      </c>
      <c r="J140" s="5" t="s">
        <v>39</v>
      </c>
      <c r="K140" s="5">
        <v>6525.0</v>
      </c>
      <c r="L140" s="5">
        <v>10550.0</v>
      </c>
      <c r="M140" s="30">
        <v>162124.0</v>
      </c>
      <c r="N140" s="15" t="str">
        <f t="array" ref="N140">IFERROR(VLOOKUP(T140,Ref_sheet!$A$1:$B$8,2,FALSE))</f>
        <v/>
      </c>
      <c r="O140" s="12">
        <v>10.0</v>
      </c>
      <c r="P140" s="5" t="s">
        <v>40</v>
      </c>
      <c r="Q140" s="5"/>
      <c r="R140" s="5" t="s">
        <v>41</v>
      </c>
      <c r="S140" s="5"/>
      <c r="T140" s="5" t="s">
        <v>46</v>
      </c>
    </row>
    <row r="141">
      <c r="A141" s="25">
        <v>43866.0</v>
      </c>
      <c r="B141" s="28">
        <v>0.5618055555555556</v>
      </c>
      <c r="C141" s="5" t="s">
        <v>328</v>
      </c>
      <c r="D141" s="29">
        <v>43875.0</v>
      </c>
      <c r="E141" s="5">
        <v>335.0</v>
      </c>
      <c r="F141" s="5" t="s">
        <v>38</v>
      </c>
      <c r="G141" s="5">
        <v>327.94</v>
      </c>
      <c r="H141" s="5">
        <v>296.0</v>
      </c>
      <c r="I141" s="5">
        <v>2.75</v>
      </c>
      <c r="J141" s="5" t="s">
        <v>39</v>
      </c>
      <c r="K141" s="5">
        <v>1889.0</v>
      </c>
      <c r="L141" s="5">
        <v>509.0</v>
      </c>
      <c r="M141" s="30">
        <v>81476.0</v>
      </c>
      <c r="N141" s="15" t="str">
        <f t="array" ref="N141">IFERROR(VLOOKUP(T141,Ref_sheet!$A$1:$B$8,2,FALSE))</f>
        <v/>
      </c>
      <c r="O141" s="12">
        <v>30.0</v>
      </c>
      <c r="P141" s="5" t="s">
        <v>182</v>
      </c>
      <c r="Q141" s="5"/>
      <c r="R141" s="5" t="s">
        <v>41</v>
      </c>
      <c r="S141" s="5"/>
      <c r="T141" s="5" t="s">
        <v>36</v>
      </c>
    </row>
    <row r="142">
      <c r="A142" s="25">
        <v>43866.0</v>
      </c>
      <c r="B142" s="28">
        <v>0.5604166666666667</v>
      </c>
      <c r="C142" s="5" t="s">
        <v>404</v>
      </c>
      <c r="D142" s="29">
        <v>43882.0</v>
      </c>
      <c r="E142" s="5">
        <v>50.0</v>
      </c>
      <c r="F142" s="5" t="s">
        <v>32</v>
      </c>
      <c r="G142" s="5">
        <v>52.8</v>
      </c>
      <c r="H142" s="5">
        <v>549.0</v>
      </c>
      <c r="I142" s="5">
        <v>0.4</v>
      </c>
      <c r="J142" s="5" t="s">
        <v>39</v>
      </c>
      <c r="K142" s="5">
        <v>553.0</v>
      </c>
      <c r="L142" s="5">
        <v>136.0</v>
      </c>
      <c r="M142" s="30">
        <v>21960.0</v>
      </c>
      <c r="N142" s="15" t="str">
        <f t="array" ref="N142">IFERROR(VLOOKUP(T142,Ref_sheet!$A$1:$B$8,2,FALSE))</f>
        <v/>
      </c>
      <c r="O142" s="12">
        <v>52.0</v>
      </c>
      <c r="P142" s="5" t="s">
        <v>162</v>
      </c>
      <c r="Q142" s="5"/>
      <c r="R142" s="5" t="s">
        <v>35</v>
      </c>
      <c r="S142" s="5"/>
      <c r="T142" s="5" t="s">
        <v>42</v>
      </c>
    </row>
    <row r="143">
      <c r="A143" s="25">
        <v>43866.0</v>
      </c>
      <c r="B143" s="28">
        <v>0.5604166666666667</v>
      </c>
      <c r="C143" s="5" t="s">
        <v>328</v>
      </c>
      <c r="D143" s="29">
        <v>43875.0</v>
      </c>
      <c r="E143" s="5">
        <v>335.0</v>
      </c>
      <c r="F143" s="5" t="s">
        <v>38</v>
      </c>
      <c r="G143" s="5">
        <v>327.41</v>
      </c>
      <c r="H143" s="5">
        <v>201.0</v>
      </c>
      <c r="I143" s="5">
        <v>2.57</v>
      </c>
      <c r="J143" s="5" t="s">
        <v>39</v>
      </c>
      <c r="K143" s="5">
        <v>1563.0</v>
      </c>
      <c r="L143" s="5">
        <v>509.0</v>
      </c>
      <c r="M143" s="30">
        <v>51616.0</v>
      </c>
      <c r="N143" s="15" t="str">
        <f t="array" ref="N143">IFERROR(VLOOKUP(T143,Ref_sheet!$A$1:$B$8,2,FALSE))</f>
        <v/>
      </c>
      <c r="O143" s="12">
        <v>25.0</v>
      </c>
      <c r="P143" s="5" t="s">
        <v>182</v>
      </c>
      <c r="Q143" s="5"/>
      <c r="R143" s="5" t="s">
        <v>41</v>
      </c>
      <c r="S143" s="5"/>
      <c r="T143" s="5" t="s">
        <v>36</v>
      </c>
    </row>
    <row r="144">
      <c r="A144" s="25">
        <v>43866.0</v>
      </c>
      <c r="B144" s="28">
        <v>0.5597222222222222</v>
      </c>
      <c r="C144" s="5" t="s">
        <v>405</v>
      </c>
      <c r="D144" s="29">
        <v>43910.0</v>
      </c>
      <c r="E144" s="5">
        <v>60.0</v>
      </c>
      <c r="F144" s="5" t="s">
        <v>32</v>
      </c>
      <c r="G144" s="5">
        <v>58.94</v>
      </c>
      <c r="H144" s="5">
        <v>617.0</v>
      </c>
      <c r="I144" s="5">
        <v>5.6</v>
      </c>
      <c r="J144" s="5" t="s">
        <v>39</v>
      </c>
      <c r="K144" s="5">
        <v>3243.0</v>
      </c>
      <c r="L144" s="5">
        <v>49.0</v>
      </c>
      <c r="M144" s="30">
        <v>345498.0</v>
      </c>
      <c r="N144" s="15" t="str">
        <f t="array" ref="N144">IFERROR(VLOOKUP(T144,Ref_sheet!$A$1:$B$8,2,FALSE))</f>
        <v/>
      </c>
      <c r="O144" s="12">
        <v>38.0</v>
      </c>
      <c r="P144" s="5" t="s">
        <v>40</v>
      </c>
      <c r="Q144" s="5"/>
      <c r="R144" s="5" t="s">
        <v>35</v>
      </c>
      <c r="S144" s="5"/>
      <c r="T144" s="5" t="s">
        <v>42</v>
      </c>
    </row>
    <row r="145">
      <c r="A145" s="25">
        <v>43866.0</v>
      </c>
      <c r="B145" s="28">
        <v>0.5590277777777778</v>
      </c>
      <c r="C145" s="5" t="s">
        <v>145</v>
      </c>
      <c r="D145" s="29">
        <v>43868.0</v>
      </c>
      <c r="E145" s="5">
        <v>12.5</v>
      </c>
      <c r="F145" s="5" t="s">
        <v>38</v>
      </c>
      <c r="G145" s="5">
        <v>12.79</v>
      </c>
      <c r="H145" s="5">
        <v>651.0</v>
      </c>
      <c r="I145" s="5">
        <v>0.33</v>
      </c>
      <c r="J145" s="5" t="s">
        <v>48</v>
      </c>
      <c r="K145" s="5">
        <v>8636.0</v>
      </c>
      <c r="L145" s="5">
        <v>15467.0</v>
      </c>
      <c r="M145" s="30">
        <v>21483.0</v>
      </c>
      <c r="N145" s="15" t="str">
        <f t="array" ref="N145">IFERROR(VLOOKUP(T145,Ref_sheet!$A$1:$B$8,2,FALSE))</f>
        <v/>
      </c>
      <c r="O145" s="12">
        <v>15.0</v>
      </c>
      <c r="P145" s="5" t="s">
        <v>182</v>
      </c>
      <c r="Q145" s="5"/>
      <c r="R145" s="5" t="s">
        <v>41</v>
      </c>
      <c r="S145" s="5"/>
      <c r="T145" s="5" t="s">
        <v>46</v>
      </c>
    </row>
    <row r="146">
      <c r="A146" s="25">
        <v>43866.0</v>
      </c>
      <c r="B146" s="28">
        <v>0.5590277777777778</v>
      </c>
      <c r="C146" s="5" t="s">
        <v>67</v>
      </c>
      <c r="D146" s="29">
        <v>44211.0</v>
      </c>
      <c r="E146" s="5">
        <v>40.0</v>
      </c>
      <c r="F146" s="5" t="s">
        <v>38</v>
      </c>
      <c r="G146" s="5">
        <v>37.31</v>
      </c>
      <c r="H146" s="5">
        <v>850.0</v>
      </c>
      <c r="I146" s="5">
        <v>5.64</v>
      </c>
      <c r="J146" s="5" t="s">
        <v>39</v>
      </c>
      <c r="K146" s="5">
        <v>1544.0</v>
      </c>
      <c r="L146" s="5">
        <v>18999.0</v>
      </c>
      <c r="M146" s="30">
        <v>479775.0</v>
      </c>
      <c r="N146" s="15" t="str">
        <f t="array" ref="N146">IFERROR(VLOOKUP(T146,Ref_sheet!$A$1:$B$8,2,FALSE))</f>
        <v/>
      </c>
      <c r="O146" s="12">
        <v>17.0</v>
      </c>
      <c r="P146" s="5" t="s">
        <v>40</v>
      </c>
      <c r="Q146" s="5"/>
      <c r="R146" s="5" t="s">
        <v>41</v>
      </c>
      <c r="S146" s="5"/>
      <c r="T146" s="5" t="s">
        <v>46</v>
      </c>
    </row>
    <row r="147">
      <c r="A147" s="25">
        <v>43866.0</v>
      </c>
      <c r="B147" s="28">
        <v>0.5590277777777778</v>
      </c>
      <c r="C147" s="5" t="s">
        <v>133</v>
      </c>
      <c r="D147" s="29">
        <v>43910.0</v>
      </c>
      <c r="E147" s="5">
        <v>15.0</v>
      </c>
      <c r="F147" s="5" t="s">
        <v>38</v>
      </c>
      <c r="G147" s="5">
        <v>12.17</v>
      </c>
      <c r="H147" s="5">
        <v>1002.0</v>
      </c>
      <c r="I147" s="5">
        <v>0.27</v>
      </c>
      <c r="J147" s="5" t="s">
        <v>39</v>
      </c>
      <c r="K147" s="5">
        <v>1795.0</v>
      </c>
      <c r="L147" s="5">
        <v>6303.0</v>
      </c>
      <c r="M147" s="30">
        <v>26919.0</v>
      </c>
      <c r="N147" s="15" t="str">
        <f t="array" ref="N147">IFERROR(VLOOKUP(T147,Ref_sheet!$A$1:$B$8,2,FALSE))</f>
        <v/>
      </c>
      <c r="O147" s="12">
        <v>18.0</v>
      </c>
      <c r="P147" s="5" t="s">
        <v>53</v>
      </c>
      <c r="Q147" s="5"/>
      <c r="R147" s="5" t="s">
        <v>41</v>
      </c>
      <c r="S147" s="5"/>
      <c r="T147" s="5" t="s">
        <v>46</v>
      </c>
    </row>
    <row r="148">
      <c r="A148" s="25">
        <v>43866.0</v>
      </c>
      <c r="B148" s="28">
        <v>0.5583333333333333</v>
      </c>
      <c r="C148" s="5" t="s">
        <v>122</v>
      </c>
      <c r="D148" s="29">
        <v>43966.0</v>
      </c>
      <c r="E148" s="5">
        <v>35.0</v>
      </c>
      <c r="F148" s="5" t="s">
        <v>38</v>
      </c>
      <c r="G148" s="5">
        <v>34.7</v>
      </c>
      <c r="H148" s="5">
        <v>539.0</v>
      </c>
      <c r="I148" s="5">
        <v>1.4</v>
      </c>
      <c r="J148" s="5" t="s">
        <v>48</v>
      </c>
      <c r="K148" s="5">
        <v>786.0</v>
      </c>
      <c r="L148" s="5">
        <v>8358.0</v>
      </c>
      <c r="M148" s="30">
        <v>75460.0</v>
      </c>
      <c r="N148" s="15" t="str">
        <f t="array" ref="N148">IFERROR(VLOOKUP(T148,Ref_sheet!$A$1:$B$8,2,FALSE))</f>
        <v/>
      </c>
      <c r="O148" s="12">
        <v>18.0</v>
      </c>
      <c r="P148" s="5" t="s">
        <v>162</v>
      </c>
      <c r="Q148" s="5"/>
      <c r="R148" s="5" t="s">
        <v>41</v>
      </c>
      <c r="S148" s="5"/>
      <c r="T148" s="5" t="s">
        <v>46</v>
      </c>
    </row>
    <row r="149">
      <c r="A149" s="25">
        <v>43866.0</v>
      </c>
      <c r="B149" s="28">
        <v>0.5576388888888889</v>
      </c>
      <c r="C149" s="5" t="s">
        <v>204</v>
      </c>
      <c r="D149" s="29">
        <v>43868.0</v>
      </c>
      <c r="E149" s="5">
        <v>17.5</v>
      </c>
      <c r="F149" s="5" t="s">
        <v>32</v>
      </c>
      <c r="G149" s="5">
        <v>17.59</v>
      </c>
      <c r="H149" s="5">
        <v>701.0</v>
      </c>
      <c r="I149" s="5">
        <v>0.3</v>
      </c>
      <c r="J149" s="5" t="s">
        <v>39</v>
      </c>
      <c r="K149" s="5">
        <v>2156.0</v>
      </c>
      <c r="L149" s="5">
        <v>49.0</v>
      </c>
      <c r="M149" s="30">
        <v>20993.0</v>
      </c>
      <c r="N149" s="15" t="str">
        <f t="array" ref="N149">IFERROR(VLOOKUP(T149,Ref_sheet!$A$1:$B$8,2,FALSE))</f>
        <v/>
      </c>
      <c r="O149" s="12">
        <v>44.0</v>
      </c>
      <c r="P149" s="5" t="s">
        <v>40</v>
      </c>
      <c r="Q149" s="5"/>
      <c r="R149" s="5" t="s">
        <v>35</v>
      </c>
      <c r="S149" s="5"/>
      <c r="T149" s="5" t="s">
        <v>42</v>
      </c>
    </row>
    <row r="150">
      <c r="A150" s="25">
        <v>43866.0</v>
      </c>
      <c r="B150" s="28">
        <v>0.5576388888888889</v>
      </c>
      <c r="C150" s="5" t="s">
        <v>406</v>
      </c>
      <c r="D150" s="29">
        <v>43882.0</v>
      </c>
      <c r="E150" s="5">
        <v>42.5</v>
      </c>
      <c r="F150" s="5" t="s">
        <v>38</v>
      </c>
      <c r="G150" s="5">
        <v>44.61</v>
      </c>
      <c r="H150" s="5">
        <v>265.0</v>
      </c>
      <c r="I150" s="5">
        <v>3.3</v>
      </c>
      <c r="J150" s="5" t="s">
        <v>39</v>
      </c>
      <c r="K150" s="5">
        <v>316.0</v>
      </c>
      <c r="L150" s="5">
        <v>2677.0</v>
      </c>
      <c r="M150" s="30">
        <v>87450.0</v>
      </c>
      <c r="N150" s="15" t="str">
        <f t="array" ref="N150">IFERROR(VLOOKUP(T150,Ref_sheet!$A$1:$B$8,2,FALSE))</f>
        <v/>
      </c>
      <c r="O150" s="12">
        <v>29.0</v>
      </c>
      <c r="P150" s="5" t="s">
        <v>51</v>
      </c>
      <c r="Q150" s="5"/>
      <c r="R150" s="5" t="s">
        <v>41</v>
      </c>
      <c r="S150" s="5"/>
      <c r="T150" s="5" t="s">
        <v>46</v>
      </c>
    </row>
    <row r="151">
      <c r="A151" s="25">
        <v>43866.0</v>
      </c>
      <c r="B151" s="28">
        <v>0.5569444444444445</v>
      </c>
      <c r="C151" s="5" t="s">
        <v>220</v>
      </c>
      <c r="D151" s="29">
        <v>43868.0</v>
      </c>
      <c r="E151" s="5">
        <v>800.0</v>
      </c>
      <c r="F151" s="5" t="s">
        <v>38</v>
      </c>
      <c r="G151" s="5">
        <v>726.24</v>
      </c>
      <c r="H151" s="5">
        <v>206.0</v>
      </c>
      <c r="I151" s="5">
        <v>9.0</v>
      </c>
      <c r="J151" s="5" t="s">
        <v>39</v>
      </c>
      <c r="K151" s="5">
        <v>18000.0</v>
      </c>
      <c r="L151" s="5">
        <v>6945.0</v>
      </c>
      <c r="M151" s="30">
        <v>185400.0</v>
      </c>
      <c r="N151" s="15" t="str">
        <f t="array" ref="N151">IFERROR(VLOOKUP(T151,Ref_sheet!$A$1:$B$8,2,FALSE))</f>
        <v/>
      </c>
      <c r="O151" s="12">
        <v>44.0</v>
      </c>
      <c r="P151" s="5" t="s">
        <v>58</v>
      </c>
      <c r="Q151" s="5" t="b">
        <v>1</v>
      </c>
      <c r="R151" s="5" t="s">
        <v>41</v>
      </c>
      <c r="S151" s="5"/>
      <c r="T151" s="5" t="s">
        <v>401</v>
      </c>
    </row>
    <row r="152">
      <c r="A152" s="25">
        <v>43866.0</v>
      </c>
      <c r="B152" s="28">
        <v>0.5569444444444445</v>
      </c>
      <c r="C152" s="5" t="s">
        <v>37</v>
      </c>
      <c r="D152" s="29">
        <v>43882.0</v>
      </c>
      <c r="E152" s="5">
        <v>21.5</v>
      </c>
      <c r="F152" s="5" t="s">
        <v>32</v>
      </c>
      <c r="G152" s="5">
        <v>21.83</v>
      </c>
      <c r="H152" s="5">
        <v>1501.0</v>
      </c>
      <c r="I152" s="5">
        <v>1.5</v>
      </c>
      <c r="J152" s="5" t="s">
        <v>39</v>
      </c>
      <c r="K152" s="5">
        <v>2186.0</v>
      </c>
      <c r="L152" s="5">
        <v>351.0</v>
      </c>
      <c r="M152" s="30">
        <v>225150.0</v>
      </c>
      <c r="N152" s="15" t="str">
        <f t="array" ref="N152">IFERROR(VLOOKUP(T152,Ref_sheet!$A$1:$B$8,2,FALSE))</f>
        <v/>
      </c>
      <c r="O152" s="12">
        <v>54.0</v>
      </c>
      <c r="P152" s="5" t="s">
        <v>40</v>
      </c>
      <c r="Q152" s="5"/>
      <c r="R152" s="5" t="s">
        <v>35</v>
      </c>
      <c r="S152" s="5"/>
      <c r="T152" s="5" t="s">
        <v>42</v>
      </c>
    </row>
    <row r="153">
      <c r="A153" s="25">
        <v>43866.0</v>
      </c>
      <c r="B153" s="28">
        <v>0.5555555555555556</v>
      </c>
      <c r="C153" s="5" t="s">
        <v>328</v>
      </c>
      <c r="D153" s="29">
        <v>43966.0</v>
      </c>
      <c r="E153" s="5">
        <v>400.0</v>
      </c>
      <c r="F153" s="5" t="s">
        <v>38</v>
      </c>
      <c r="G153" s="5">
        <v>325.87</v>
      </c>
      <c r="H153" s="5">
        <v>254.0</v>
      </c>
      <c r="I153" s="5">
        <v>1.82</v>
      </c>
      <c r="J153" s="5" t="s">
        <v>39</v>
      </c>
      <c r="K153" s="5">
        <v>2790.0</v>
      </c>
      <c r="L153" s="5">
        <v>1417.0</v>
      </c>
      <c r="M153" s="30">
        <v>46329.0</v>
      </c>
      <c r="N153" s="15" t="str">
        <f t="array" ref="N153">IFERROR(VLOOKUP(T153,Ref_sheet!$A$1:$B$8,2,FALSE))</f>
        <v/>
      </c>
      <c r="O153" s="12">
        <v>8.0</v>
      </c>
      <c r="P153" s="5" t="s">
        <v>182</v>
      </c>
      <c r="Q153" s="5"/>
      <c r="R153" s="5" t="s">
        <v>41</v>
      </c>
      <c r="S153" s="5"/>
      <c r="T153" s="5" t="s">
        <v>36</v>
      </c>
    </row>
    <row r="154">
      <c r="A154" s="25">
        <v>43866.0</v>
      </c>
      <c r="B154" s="28">
        <v>0.5548611111111111</v>
      </c>
      <c r="C154" s="5" t="s">
        <v>62</v>
      </c>
      <c r="D154" s="29">
        <v>43910.0</v>
      </c>
      <c r="E154" s="5">
        <v>185.0</v>
      </c>
      <c r="F154" s="5" t="s">
        <v>38</v>
      </c>
      <c r="G154" s="5">
        <v>179.0</v>
      </c>
      <c r="H154" s="5">
        <v>500.0</v>
      </c>
      <c r="I154" s="5">
        <v>3.19</v>
      </c>
      <c r="J154" s="5" t="s">
        <v>39</v>
      </c>
      <c r="K154" s="5">
        <v>5853.0</v>
      </c>
      <c r="L154" s="5">
        <v>10550.0</v>
      </c>
      <c r="M154" s="30">
        <v>159296.0</v>
      </c>
      <c r="N154" s="15" t="str">
        <f t="array" ref="N154">IFERROR(VLOOKUP(T154,Ref_sheet!$A$1:$B$8,2,FALSE))</f>
        <v/>
      </c>
      <c r="O154" s="12">
        <v>10.0</v>
      </c>
      <c r="P154" s="5" t="s">
        <v>40</v>
      </c>
      <c r="Q154" s="5"/>
      <c r="R154" s="5" t="s">
        <v>41</v>
      </c>
      <c r="S154" s="5"/>
      <c r="T154" s="5" t="s">
        <v>46</v>
      </c>
    </row>
    <row r="155">
      <c r="A155" s="25">
        <v>43866.0</v>
      </c>
      <c r="B155" s="28">
        <v>0.5541666666666667</v>
      </c>
      <c r="C155" s="5" t="s">
        <v>156</v>
      </c>
      <c r="D155" s="29">
        <v>43938.0</v>
      </c>
      <c r="E155" s="5">
        <v>44.0</v>
      </c>
      <c r="F155" s="5" t="s">
        <v>32</v>
      </c>
      <c r="G155" s="5">
        <v>44.97</v>
      </c>
      <c r="H155" s="5">
        <v>800.0</v>
      </c>
      <c r="I155" s="5">
        <v>1.61</v>
      </c>
      <c r="J155" s="5" t="s">
        <v>39</v>
      </c>
      <c r="K155" s="5">
        <v>10464.0</v>
      </c>
      <c r="L155" s="5">
        <v>7588.0</v>
      </c>
      <c r="M155" s="30">
        <v>128800.0</v>
      </c>
      <c r="N155" s="15" t="str">
        <f t="array" ref="N155">IFERROR(VLOOKUP(T155,Ref_sheet!$A$1:$B$8,2,FALSE))</f>
        <v/>
      </c>
      <c r="O155" s="12">
        <v>8.0</v>
      </c>
      <c r="P155" s="5" t="s">
        <v>34</v>
      </c>
      <c r="Q155" s="5"/>
      <c r="R155" s="5" t="s">
        <v>35</v>
      </c>
      <c r="S155" s="5"/>
      <c r="T155" s="5" t="s">
        <v>36</v>
      </c>
    </row>
    <row r="156">
      <c r="A156" s="25">
        <v>43866.0</v>
      </c>
      <c r="B156" s="28">
        <v>0.5534722222222223</v>
      </c>
      <c r="C156" s="5" t="s">
        <v>220</v>
      </c>
      <c r="D156" s="29">
        <v>43868.0</v>
      </c>
      <c r="E156" s="5">
        <v>767.5</v>
      </c>
      <c r="F156" s="5" t="s">
        <v>38</v>
      </c>
      <c r="G156" s="5">
        <v>711.71</v>
      </c>
      <c r="H156" s="5">
        <v>325.0</v>
      </c>
      <c r="I156" s="5">
        <v>11.85</v>
      </c>
      <c r="J156" s="5" t="s">
        <v>33</v>
      </c>
      <c r="K156" s="5">
        <v>1227.0</v>
      </c>
      <c r="L156" s="5">
        <v>175.0</v>
      </c>
      <c r="M156" s="30">
        <v>385125.0</v>
      </c>
      <c r="N156" s="15" t="str">
        <f t="array" ref="N156">IFERROR(VLOOKUP(T156,Ref_sheet!$A$1:$B$8,2,FALSE))</f>
        <v/>
      </c>
      <c r="O156" s="12">
        <v>75.0</v>
      </c>
      <c r="P156" s="5" t="s">
        <v>58</v>
      </c>
      <c r="Q156" s="5" t="b">
        <v>1</v>
      </c>
      <c r="R156" s="5" t="s">
        <v>41</v>
      </c>
      <c r="S156" s="5"/>
      <c r="T156" s="5" t="s">
        <v>66</v>
      </c>
    </row>
    <row r="157">
      <c r="A157" s="25">
        <v>43866.0</v>
      </c>
      <c r="B157" s="28">
        <v>0.5493055555555556</v>
      </c>
      <c r="C157" s="5" t="s">
        <v>43</v>
      </c>
      <c r="D157" s="29">
        <v>43882.0</v>
      </c>
      <c r="E157" s="5">
        <v>20.0</v>
      </c>
      <c r="F157" s="5" t="s">
        <v>38</v>
      </c>
      <c r="G157" s="5">
        <v>20.01</v>
      </c>
      <c r="H157" s="5">
        <v>3078.0</v>
      </c>
      <c r="I157" s="5">
        <v>0.6</v>
      </c>
      <c r="J157" s="5" t="s">
        <v>39</v>
      </c>
      <c r="K157" s="5">
        <v>13254.0</v>
      </c>
      <c r="L157" s="5">
        <v>17942.0</v>
      </c>
      <c r="M157" s="30">
        <v>184680.0</v>
      </c>
      <c r="N157" s="15" t="str">
        <f t="array" ref="N157">IFERROR(VLOOKUP(T157,Ref_sheet!$A$1:$B$8,2,FALSE))</f>
        <v/>
      </c>
      <c r="O157" s="12">
        <v>21.0</v>
      </c>
      <c r="P157" s="5" t="s">
        <v>34</v>
      </c>
      <c r="Q157" s="5"/>
      <c r="R157" s="5" t="s">
        <v>41</v>
      </c>
      <c r="S157" s="5"/>
      <c r="T157" s="5" t="s">
        <v>46</v>
      </c>
    </row>
    <row r="158">
      <c r="A158" s="25">
        <v>43866.0</v>
      </c>
      <c r="B158" s="28">
        <v>0.5472222222222223</v>
      </c>
      <c r="C158" s="5" t="s">
        <v>124</v>
      </c>
      <c r="D158" s="29">
        <v>43910.0</v>
      </c>
      <c r="E158" s="5">
        <v>38.0</v>
      </c>
      <c r="F158" s="5" t="s">
        <v>38</v>
      </c>
      <c r="G158" s="5">
        <v>33.34</v>
      </c>
      <c r="H158" s="5">
        <v>897.0</v>
      </c>
      <c r="I158" s="5">
        <v>0.77</v>
      </c>
      <c r="J158" s="5" t="s">
        <v>39</v>
      </c>
      <c r="K158" s="5">
        <v>1929.0</v>
      </c>
      <c r="L158" s="5">
        <v>4220.0</v>
      </c>
      <c r="M158" s="30">
        <v>69068.0</v>
      </c>
      <c r="N158" s="15" t="str">
        <f t="array" ref="N158">IFERROR(VLOOKUP(T158,Ref_sheet!$A$1:$B$8,2,FALSE))</f>
        <v/>
      </c>
      <c r="O158" s="12">
        <v>20.0</v>
      </c>
      <c r="P158" s="5" t="s">
        <v>40</v>
      </c>
      <c r="Q158" s="5"/>
      <c r="R158" s="5" t="s">
        <v>41</v>
      </c>
      <c r="S158" s="5"/>
      <c r="T158" s="5" t="s">
        <v>46</v>
      </c>
    </row>
    <row r="159">
      <c r="A159" s="25">
        <v>43866.0</v>
      </c>
      <c r="B159" s="28">
        <v>0.5465277777777777</v>
      </c>
      <c r="C159" s="5" t="s">
        <v>407</v>
      </c>
      <c r="D159" s="29">
        <v>43875.0</v>
      </c>
      <c r="E159" s="5">
        <v>880.0</v>
      </c>
      <c r="F159" s="5" t="s">
        <v>38</v>
      </c>
      <c r="G159" s="5">
        <v>854.73</v>
      </c>
      <c r="H159" s="5">
        <v>216.0</v>
      </c>
      <c r="I159" s="5">
        <v>5.71</v>
      </c>
      <c r="J159" s="5" t="s">
        <v>39</v>
      </c>
      <c r="K159" s="5">
        <v>443.0</v>
      </c>
      <c r="L159" s="5">
        <v>89.0</v>
      </c>
      <c r="M159" s="30">
        <v>123228.0</v>
      </c>
      <c r="N159" s="15" t="str">
        <f t="array" ref="N159">IFERROR(VLOOKUP(T159,Ref_sheet!$A$1:$B$8,2,FALSE))</f>
        <v/>
      </c>
      <c r="O159" s="12">
        <v>50.0</v>
      </c>
      <c r="P159" s="5" t="s">
        <v>51</v>
      </c>
      <c r="Q159" s="5"/>
      <c r="R159" s="5" t="s">
        <v>41</v>
      </c>
      <c r="S159" s="5"/>
      <c r="T159" s="5" t="s">
        <v>42</v>
      </c>
    </row>
    <row r="160">
      <c r="A160" s="25">
        <v>43866.0</v>
      </c>
      <c r="B160" s="28">
        <v>0.5451388888888888</v>
      </c>
      <c r="C160" s="5" t="s">
        <v>100</v>
      </c>
      <c r="D160" s="29">
        <v>43875.0</v>
      </c>
      <c r="E160" s="5">
        <v>83.5</v>
      </c>
      <c r="F160" s="5" t="s">
        <v>38</v>
      </c>
      <c r="G160" s="5">
        <v>83.67</v>
      </c>
      <c r="H160" s="5">
        <v>1000.0</v>
      </c>
      <c r="I160" s="5">
        <v>0.98</v>
      </c>
      <c r="J160" s="5" t="s">
        <v>39</v>
      </c>
      <c r="K160" s="5">
        <v>1154.0</v>
      </c>
      <c r="L160" s="5">
        <v>345.0</v>
      </c>
      <c r="M160" s="30">
        <v>97657.0</v>
      </c>
      <c r="N160" s="15" t="str">
        <f t="array" ref="N160">IFERROR(VLOOKUP(T160,Ref_sheet!$A$1:$B$8,2,FALSE))</f>
        <v/>
      </c>
      <c r="O160" s="12">
        <v>55.0</v>
      </c>
      <c r="P160" s="5" t="s">
        <v>34</v>
      </c>
      <c r="Q160" s="5"/>
      <c r="R160" s="5" t="s">
        <v>41</v>
      </c>
      <c r="S160" s="5"/>
      <c r="T160" s="5" t="s">
        <v>42</v>
      </c>
    </row>
    <row r="161">
      <c r="A161" s="25">
        <v>43866.0</v>
      </c>
      <c r="B161" s="28">
        <v>0.54375</v>
      </c>
      <c r="C161" s="5" t="s">
        <v>62</v>
      </c>
      <c r="D161" s="29">
        <v>44092.0</v>
      </c>
      <c r="E161" s="5">
        <v>180.0</v>
      </c>
      <c r="F161" s="5" t="s">
        <v>38</v>
      </c>
      <c r="G161" s="5">
        <v>179.11</v>
      </c>
      <c r="H161" s="5">
        <v>1500.0</v>
      </c>
      <c r="I161" s="5">
        <v>12.9</v>
      </c>
      <c r="J161" s="5" t="s">
        <v>48</v>
      </c>
      <c r="K161" s="5">
        <v>1934.0</v>
      </c>
      <c r="L161" s="5">
        <v>1523.0</v>
      </c>
      <c r="M161" s="30">
        <v>1935000.0</v>
      </c>
      <c r="N161" s="15" t="str">
        <f t="array" ref="N161">IFERROR(VLOOKUP(T161,Ref_sheet!$A$1:$B$8,2,FALSE))</f>
        <v/>
      </c>
      <c r="O161" s="12">
        <v>45.0</v>
      </c>
      <c r="P161" s="5" t="s">
        <v>40</v>
      </c>
      <c r="Q161" s="5"/>
      <c r="R161" s="5" t="s">
        <v>41</v>
      </c>
      <c r="S161" s="5"/>
      <c r="T161" s="5" t="s">
        <v>36</v>
      </c>
    </row>
    <row r="162">
      <c r="A162" s="25">
        <v>43866.0</v>
      </c>
      <c r="B162" s="28">
        <v>0.5430555555555555</v>
      </c>
      <c r="C162" s="5" t="s">
        <v>43</v>
      </c>
      <c r="D162" s="29">
        <v>43868.0</v>
      </c>
      <c r="E162" s="5">
        <v>20.0</v>
      </c>
      <c r="F162" s="5" t="s">
        <v>38</v>
      </c>
      <c r="G162" s="5">
        <v>20.04</v>
      </c>
      <c r="H162" s="5">
        <v>1891.0</v>
      </c>
      <c r="I162" s="5">
        <v>0.28</v>
      </c>
      <c r="J162" s="5" t="s">
        <v>39</v>
      </c>
      <c r="K162" s="5">
        <v>14614.0</v>
      </c>
      <c r="L162" s="5">
        <v>1976.0</v>
      </c>
      <c r="M162" s="30">
        <v>52948.0</v>
      </c>
      <c r="N162" s="15" t="str">
        <f t="array" ref="N162">IFERROR(VLOOKUP(T162,Ref_sheet!$A$1:$B$8,2,FALSE))</f>
        <v/>
      </c>
      <c r="O162" s="12">
        <v>42.0</v>
      </c>
      <c r="P162" s="5" t="s">
        <v>34</v>
      </c>
      <c r="Q162" s="5"/>
      <c r="R162" s="5" t="s">
        <v>41</v>
      </c>
      <c r="S162" s="5"/>
      <c r="T162" s="5" t="s">
        <v>36</v>
      </c>
    </row>
    <row r="163">
      <c r="A163" s="25">
        <v>43866.0</v>
      </c>
      <c r="B163" s="28">
        <v>0.5409722222222222</v>
      </c>
      <c r="C163" s="5" t="s">
        <v>63</v>
      </c>
      <c r="D163" s="29">
        <v>43868.0</v>
      </c>
      <c r="E163" s="5">
        <v>37.5</v>
      </c>
      <c r="F163" s="5" t="s">
        <v>38</v>
      </c>
      <c r="G163" s="5">
        <v>37.74</v>
      </c>
      <c r="H163" s="5">
        <v>500.0</v>
      </c>
      <c r="I163" s="5">
        <v>0.42</v>
      </c>
      <c r="J163" s="5" t="s">
        <v>39</v>
      </c>
      <c r="K163" s="5">
        <v>717.0</v>
      </c>
      <c r="L163" s="5">
        <v>1266.0</v>
      </c>
      <c r="M163" s="30">
        <v>21000.0</v>
      </c>
      <c r="N163" s="15" t="str">
        <f t="array" ref="N163">IFERROR(VLOOKUP(T163,Ref_sheet!$A$1:$B$8,2,FALSE))</f>
        <v/>
      </c>
      <c r="O163" s="12">
        <v>36.0</v>
      </c>
      <c r="P163" s="5" t="s">
        <v>64</v>
      </c>
      <c r="Q163" s="5"/>
      <c r="R163" s="5" t="s">
        <v>41</v>
      </c>
      <c r="S163" s="5"/>
      <c r="T163" s="5" t="s">
        <v>46</v>
      </c>
    </row>
    <row r="164">
      <c r="A164" s="25">
        <v>43866.0</v>
      </c>
      <c r="B164" s="28">
        <v>0.5409722222222222</v>
      </c>
      <c r="C164" s="5" t="s">
        <v>43</v>
      </c>
      <c r="D164" s="29">
        <v>43868.0</v>
      </c>
      <c r="E164" s="5">
        <v>19.5</v>
      </c>
      <c r="F164" s="5" t="s">
        <v>38</v>
      </c>
      <c r="G164" s="5">
        <v>20.05</v>
      </c>
      <c r="H164" s="5">
        <v>1073.0</v>
      </c>
      <c r="I164" s="5">
        <v>0.63</v>
      </c>
      <c r="J164" s="5" t="s">
        <v>39</v>
      </c>
      <c r="K164" s="5">
        <v>5061.0</v>
      </c>
      <c r="L164" s="5">
        <v>3669.0</v>
      </c>
      <c r="M164" s="30">
        <v>67599.0</v>
      </c>
      <c r="N164" s="15" t="str">
        <f t="array" ref="N164">IFERROR(VLOOKUP(T164,Ref_sheet!$A$1:$B$8,2,FALSE))</f>
        <v/>
      </c>
      <c r="O164" s="12">
        <v>27.0</v>
      </c>
      <c r="P164" s="5" t="s">
        <v>34</v>
      </c>
      <c r="Q164" s="5"/>
      <c r="R164" s="5" t="s">
        <v>41</v>
      </c>
      <c r="S164" s="5"/>
      <c r="T164" s="5" t="s">
        <v>36</v>
      </c>
    </row>
    <row r="165">
      <c r="A165" s="25">
        <v>43866.0</v>
      </c>
      <c r="B165" s="28">
        <v>0.5402777777777777</v>
      </c>
      <c r="C165" s="5" t="s">
        <v>31</v>
      </c>
      <c r="D165" s="29">
        <v>43868.0</v>
      </c>
      <c r="E165" s="5">
        <v>330.0</v>
      </c>
      <c r="F165" s="5" t="s">
        <v>32</v>
      </c>
      <c r="G165" s="5">
        <v>331.94</v>
      </c>
      <c r="H165" s="5">
        <v>500.0</v>
      </c>
      <c r="I165" s="5">
        <v>0.78</v>
      </c>
      <c r="J165" s="5" t="s">
        <v>39</v>
      </c>
      <c r="K165" s="5">
        <v>26742.0</v>
      </c>
      <c r="L165" s="5">
        <v>11046.0</v>
      </c>
      <c r="M165" s="30">
        <v>39000.0</v>
      </c>
      <c r="N165" s="15" t="str">
        <f t="array" ref="N165">IFERROR(VLOOKUP(T165,Ref_sheet!$A$1:$B$8,2,FALSE))</f>
        <v/>
      </c>
      <c r="O165" s="12">
        <v>14.0</v>
      </c>
      <c r="P165" s="5" t="s">
        <v>34</v>
      </c>
      <c r="Q165" s="5"/>
      <c r="R165" s="5" t="s">
        <v>35</v>
      </c>
      <c r="S165" s="5"/>
      <c r="T165" s="5" t="s">
        <v>36</v>
      </c>
    </row>
    <row r="166">
      <c r="A166" s="25">
        <v>43866.0</v>
      </c>
      <c r="B166" s="28">
        <v>0.5402777777777777</v>
      </c>
      <c r="C166" s="5" t="s">
        <v>371</v>
      </c>
      <c r="D166" s="29">
        <v>43910.0</v>
      </c>
      <c r="E166" s="5">
        <v>125.0</v>
      </c>
      <c r="F166" s="5" t="s">
        <v>38</v>
      </c>
      <c r="G166" s="5">
        <v>121.67</v>
      </c>
      <c r="H166" s="5">
        <v>636.0</v>
      </c>
      <c r="I166" s="5">
        <v>3.25</v>
      </c>
      <c r="J166" s="5" t="s">
        <v>39</v>
      </c>
      <c r="K166" s="5">
        <v>668.0</v>
      </c>
      <c r="L166" s="5">
        <v>932.0</v>
      </c>
      <c r="M166" s="30">
        <v>206688.0</v>
      </c>
      <c r="N166" s="15" t="str">
        <f t="array" ref="N166">IFERROR(VLOOKUP(T166,Ref_sheet!$A$1:$B$8,2,FALSE))</f>
        <v/>
      </c>
      <c r="O166" s="12">
        <v>45.0</v>
      </c>
      <c r="P166" s="5" t="s">
        <v>51</v>
      </c>
      <c r="Q166" s="5"/>
      <c r="R166" s="5" t="s">
        <v>41</v>
      </c>
      <c r="S166" s="5"/>
      <c r="T166" s="5" t="s">
        <v>46</v>
      </c>
    </row>
    <row r="167">
      <c r="A167" s="25">
        <v>43866.0</v>
      </c>
      <c r="B167" s="28">
        <v>0.5402777777777777</v>
      </c>
      <c r="C167" s="5" t="s">
        <v>353</v>
      </c>
      <c r="D167" s="29">
        <v>43938.0</v>
      </c>
      <c r="E167" s="5">
        <v>120.0</v>
      </c>
      <c r="F167" s="5" t="s">
        <v>38</v>
      </c>
      <c r="G167" s="5">
        <v>110.12</v>
      </c>
      <c r="H167" s="5">
        <v>1507.0</v>
      </c>
      <c r="I167" s="5">
        <v>3.0</v>
      </c>
      <c r="J167" s="5" t="s">
        <v>48</v>
      </c>
      <c r="K167" s="5">
        <v>2501.0</v>
      </c>
      <c r="L167" s="5">
        <v>12089.0</v>
      </c>
      <c r="M167" s="30">
        <v>452100.0</v>
      </c>
      <c r="N167" s="15" t="str">
        <f t="array" ref="N167">IFERROR(VLOOKUP(T167,Ref_sheet!$A$1:$B$8,2,FALSE))</f>
        <v/>
      </c>
      <c r="O167" s="12">
        <v>20.0</v>
      </c>
      <c r="P167" s="5" t="s">
        <v>51</v>
      </c>
      <c r="Q167" s="5"/>
      <c r="R167" s="5" t="s">
        <v>41</v>
      </c>
      <c r="S167" s="5"/>
      <c r="T167" s="5" t="s">
        <v>46</v>
      </c>
    </row>
    <row r="168">
      <c r="A168" s="25">
        <v>43866.0</v>
      </c>
      <c r="B168" s="28">
        <v>0.5402777777777777</v>
      </c>
      <c r="C168" s="5" t="s">
        <v>124</v>
      </c>
      <c r="D168" s="29">
        <v>43868.0</v>
      </c>
      <c r="E168" s="5">
        <v>35.0</v>
      </c>
      <c r="F168" s="5" t="s">
        <v>38</v>
      </c>
      <c r="G168" s="5">
        <v>33.39</v>
      </c>
      <c r="H168" s="5">
        <v>664.0</v>
      </c>
      <c r="I168" s="5">
        <v>1.13</v>
      </c>
      <c r="J168" s="5" t="s">
        <v>39</v>
      </c>
      <c r="K168" s="5">
        <v>2338.0</v>
      </c>
      <c r="L168" s="5">
        <v>5651.0</v>
      </c>
      <c r="M168" s="30">
        <v>75329.0</v>
      </c>
      <c r="N168" s="15" t="str">
        <f t="array" ref="N168">IFERROR(VLOOKUP(T168,Ref_sheet!$A$1:$B$8,2,FALSE))</f>
        <v/>
      </c>
      <c r="O168" s="12">
        <v>24.0</v>
      </c>
      <c r="P168" s="5" t="s">
        <v>40</v>
      </c>
      <c r="Q168" s="5"/>
      <c r="R168" s="5" t="s">
        <v>41</v>
      </c>
      <c r="T168" s="5" t="s">
        <v>46</v>
      </c>
    </row>
    <row r="169">
      <c r="A169" s="25">
        <v>43866.0</v>
      </c>
      <c r="B169" s="28">
        <v>0.5395833333333333</v>
      </c>
      <c r="C169" s="5" t="s">
        <v>328</v>
      </c>
      <c r="D169" s="29">
        <v>44001.0</v>
      </c>
      <c r="E169" s="5">
        <v>325.0</v>
      </c>
      <c r="F169" s="5" t="s">
        <v>38</v>
      </c>
      <c r="G169" s="5">
        <v>324.15</v>
      </c>
      <c r="H169" s="5">
        <v>549.0</v>
      </c>
      <c r="I169" s="5">
        <v>20.7</v>
      </c>
      <c r="J169" s="5" t="s">
        <v>48</v>
      </c>
      <c r="K169" s="5">
        <v>3107.0</v>
      </c>
      <c r="L169" s="5">
        <v>507.0</v>
      </c>
      <c r="M169" s="30">
        <v>1136430.0</v>
      </c>
      <c r="N169" s="15" t="str">
        <f t="array" ref="N169">IFERROR(VLOOKUP(T169,Ref_sheet!$A$1:$B$8,2,FALSE))</f>
        <v/>
      </c>
      <c r="O169" s="12">
        <v>34.0</v>
      </c>
      <c r="P169" s="5" t="s">
        <v>182</v>
      </c>
      <c r="Q169" s="5"/>
      <c r="R169" s="5" t="s">
        <v>41</v>
      </c>
      <c r="S169" s="5"/>
      <c r="T169" s="5" t="s">
        <v>42</v>
      </c>
    </row>
    <row r="170">
      <c r="A170" s="25">
        <v>43866.0</v>
      </c>
      <c r="B170" s="28">
        <v>0.5388888888888889</v>
      </c>
      <c r="C170" s="5" t="s">
        <v>328</v>
      </c>
      <c r="D170" s="29">
        <v>44001.0</v>
      </c>
      <c r="E170" s="5">
        <v>325.0</v>
      </c>
      <c r="F170" s="5" t="s">
        <v>38</v>
      </c>
      <c r="G170" s="5">
        <v>324.0</v>
      </c>
      <c r="H170" s="5">
        <v>375.0</v>
      </c>
      <c r="I170" s="5">
        <v>20.59</v>
      </c>
      <c r="J170" s="5" t="s">
        <v>39</v>
      </c>
      <c r="K170" s="5">
        <v>2011.0</v>
      </c>
      <c r="L170" s="5">
        <v>507.0</v>
      </c>
      <c r="M170" s="30">
        <v>772260.0</v>
      </c>
      <c r="N170" s="15" t="str">
        <f t="array" ref="N170">IFERROR(VLOOKUP(T170,Ref_sheet!$A$1:$B$8,2,FALSE))</f>
        <v/>
      </c>
      <c r="O170" s="12">
        <v>27.0</v>
      </c>
      <c r="P170" s="5" t="s">
        <v>182</v>
      </c>
      <c r="Q170" s="5"/>
      <c r="R170" s="5" t="s">
        <v>41</v>
      </c>
      <c r="S170" s="5"/>
      <c r="T170" s="5" t="s">
        <v>36</v>
      </c>
    </row>
    <row r="171">
      <c r="A171" s="25">
        <v>43866.0</v>
      </c>
      <c r="B171" s="28">
        <v>0.5381944444444444</v>
      </c>
      <c r="C171" s="5" t="s">
        <v>328</v>
      </c>
      <c r="D171" s="29">
        <v>44001.0</v>
      </c>
      <c r="E171" s="5">
        <v>325.0</v>
      </c>
      <c r="F171" s="5" t="s">
        <v>38</v>
      </c>
      <c r="G171" s="5">
        <v>323.92</v>
      </c>
      <c r="H171" s="5">
        <v>374.0</v>
      </c>
      <c r="I171" s="5">
        <v>20.55</v>
      </c>
      <c r="J171" s="5" t="s">
        <v>39</v>
      </c>
      <c r="K171" s="5">
        <v>1603.0</v>
      </c>
      <c r="L171" s="5">
        <v>507.0</v>
      </c>
      <c r="M171" s="30">
        <v>768565.0</v>
      </c>
      <c r="N171" s="15" t="str">
        <f t="array" ref="N171">IFERROR(VLOOKUP(T171,Ref_sheet!$A$1:$B$8,2,FALSE))</f>
        <v/>
      </c>
      <c r="O171" s="12">
        <v>28.0</v>
      </c>
      <c r="P171" s="5" t="s">
        <v>182</v>
      </c>
      <c r="Q171" s="5"/>
      <c r="R171" s="5" t="s">
        <v>41</v>
      </c>
      <c r="S171" s="5"/>
      <c r="T171" s="5" t="s">
        <v>36</v>
      </c>
    </row>
    <row r="172">
      <c r="A172" s="25">
        <v>43866.0</v>
      </c>
      <c r="B172" s="28">
        <v>0.5381944444444444</v>
      </c>
      <c r="C172" s="5" t="s">
        <v>328</v>
      </c>
      <c r="D172" s="29">
        <v>44001.0</v>
      </c>
      <c r="E172" s="5">
        <v>325.0</v>
      </c>
      <c r="F172" s="5" t="s">
        <v>38</v>
      </c>
      <c r="G172" s="5">
        <v>323.86</v>
      </c>
      <c r="H172" s="5">
        <v>282.0</v>
      </c>
      <c r="I172" s="5">
        <v>20.53</v>
      </c>
      <c r="J172" s="5" t="s">
        <v>39</v>
      </c>
      <c r="K172" s="5">
        <v>999.0</v>
      </c>
      <c r="L172" s="5">
        <v>507.0</v>
      </c>
      <c r="M172" s="30">
        <v>579028.0</v>
      </c>
      <c r="N172" s="15" t="str">
        <f t="array" ref="N172">IFERROR(VLOOKUP(T172,Ref_sheet!$A$1:$B$8,2,FALSE))</f>
        <v/>
      </c>
      <c r="O172" s="12">
        <v>25.0</v>
      </c>
      <c r="P172" s="5" t="s">
        <v>182</v>
      </c>
      <c r="Q172" s="5"/>
      <c r="R172" s="5" t="s">
        <v>41</v>
      </c>
      <c r="S172" s="5"/>
      <c r="T172" s="5" t="s">
        <v>36</v>
      </c>
    </row>
    <row r="173">
      <c r="A173" s="25">
        <v>43866.0</v>
      </c>
      <c r="B173" s="28">
        <v>0.5381944444444444</v>
      </c>
      <c r="C173" s="5" t="s">
        <v>408</v>
      </c>
      <c r="D173" s="29">
        <v>43882.0</v>
      </c>
      <c r="E173" s="5">
        <v>54.0</v>
      </c>
      <c r="F173" s="5" t="s">
        <v>38</v>
      </c>
      <c r="G173" s="5">
        <v>51.67</v>
      </c>
      <c r="H173" s="5">
        <v>1668.0</v>
      </c>
      <c r="I173" s="5">
        <v>0.37</v>
      </c>
      <c r="J173" s="5" t="s">
        <v>39</v>
      </c>
      <c r="K173" s="5">
        <v>7751.0</v>
      </c>
      <c r="L173" s="5">
        <v>2067.0</v>
      </c>
      <c r="M173" s="30">
        <v>61704.0</v>
      </c>
      <c r="N173" s="15" t="str">
        <f t="array" ref="N173">IFERROR(VLOOKUP(T173,Ref_sheet!$A$1:$B$8,2,FALSE))</f>
        <v/>
      </c>
      <c r="O173" s="12">
        <v>34.0</v>
      </c>
      <c r="P173" s="5" t="s">
        <v>162</v>
      </c>
      <c r="Q173" s="5"/>
      <c r="R173" s="5" t="s">
        <v>41</v>
      </c>
      <c r="S173" s="5"/>
      <c r="T173" s="5" t="s">
        <v>36</v>
      </c>
    </row>
    <row r="174">
      <c r="A174" s="25">
        <v>43866.0</v>
      </c>
      <c r="B174" s="28">
        <v>0.5375</v>
      </c>
      <c r="C174" s="5" t="s">
        <v>328</v>
      </c>
      <c r="D174" s="29">
        <v>44001.0</v>
      </c>
      <c r="E174" s="5">
        <v>325.0</v>
      </c>
      <c r="F174" s="5" t="s">
        <v>38</v>
      </c>
      <c r="G174" s="5">
        <v>323.63</v>
      </c>
      <c r="H174" s="5">
        <v>263.0</v>
      </c>
      <c r="I174" s="5">
        <v>20.29</v>
      </c>
      <c r="J174" s="5" t="s">
        <v>39</v>
      </c>
      <c r="K174" s="5">
        <v>456.0</v>
      </c>
      <c r="L174" s="5">
        <v>507.0</v>
      </c>
      <c r="M174" s="30">
        <v>533730.0</v>
      </c>
      <c r="N174" s="15" t="str">
        <f t="array" ref="N174">IFERROR(VLOOKUP(T174,Ref_sheet!$A$1:$B$8,2,FALSE))</f>
        <v/>
      </c>
      <c r="O174" s="12">
        <v>30.0</v>
      </c>
      <c r="P174" s="5" t="s">
        <v>182</v>
      </c>
      <c r="Q174" s="5"/>
      <c r="R174" s="5" t="s">
        <v>41</v>
      </c>
      <c r="S174" s="5"/>
      <c r="T174" s="5" t="s">
        <v>46</v>
      </c>
    </row>
    <row r="175">
      <c r="A175" s="25">
        <v>43866.0</v>
      </c>
      <c r="B175" s="28">
        <v>0.5354166666666667</v>
      </c>
      <c r="C175" s="5" t="s">
        <v>175</v>
      </c>
      <c r="D175" s="29">
        <v>44001.0</v>
      </c>
      <c r="E175" s="5">
        <v>133.0</v>
      </c>
      <c r="F175" s="5" t="s">
        <v>38</v>
      </c>
      <c r="G175" s="5">
        <v>130.19</v>
      </c>
      <c r="H175" s="5">
        <v>6488.0</v>
      </c>
      <c r="I175" s="5">
        <v>0.45</v>
      </c>
      <c r="J175" s="5" t="s">
        <v>33</v>
      </c>
      <c r="K175" s="5">
        <v>6488.0</v>
      </c>
      <c r="L175" s="5">
        <v>10.0</v>
      </c>
      <c r="M175" s="30">
        <v>291960.0</v>
      </c>
      <c r="N175" s="15" t="str">
        <f t="array" ref="N175">IFERROR(VLOOKUP(T175,Ref_sheet!$A$1:$B$8,2,FALSE))</f>
        <v/>
      </c>
      <c r="O175" s="12">
        <v>50.0</v>
      </c>
      <c r="P175" s="5" t="s">
        <v>34</v>
      </c>
      <c r="Q175" s="5"/>
      <c r="R175" s="5" t="s">
        <v>41</v>
      </c>
      <c r="S175" s="5"/>
      <c r="T175" s="5" t="s">
        <v>42</v>
      </c>
    </row>
    <row r="176">
      <c r="A176" s="25">
        <v>43866.0</v>
      </c>
      <c r="B176" s="28">
        <v>0.5354166666666667</v>
      </c>
      <c r="C176" s="5" t="s">
        <v>408</v>
      </c>
      <c r="D176" s="29">
        <v>43882.0</v>
      </c>
      <c r="E176" s="5">
        <v>54.0</v>
      </c>
      <c r="F176" s="5" t="s">
        <v>38</v>
      </c>
      <c r="G176" s="5">
        <v>51.65</v>
      </c>
      <c r="H176" s="5">
        <v>569.0</v>
      </c>
      <c r="I176" s="5">
        <v>0.34</v>
      </c>
      <c r="J176" s="5" t="s">
        <v>39</v>
      </c>
      <c r="K176" s="5">
        <v>4562.0</v>
      </c>
      <c r="L176" s="5">
        <v>2067.0</v>
      </c>
      <c r="M176" s="30">
        <v>19346.0</v>
      </c>
      <c r="N176" s="15" t="str">
        <f t="array" ref="N176">IFERROR(VLOOKUP(T176,Ref_sheet!$A$1:$B$8,2,FALSE))</f>
        <v/>
      </c>
      <c r="O176" s="12">
        <v>17.0</v>
      </c>
      <c r="P176" s="5" t="s">
        <v>162</v>
      </c>
      <c r="Q176" s="5"/>
      <c r="R176" s="5" t="s">
        <v>41</v>
      </c>
      <c r="S176" s="5"/>
      <c r="T176" s="5" t="s">
        <v>36</v>
      </c>
    </row>
    <row r="177">
      <c r="A177" s="25">
        <v>43866.0</v>
      </c>
      <c r="B177" s="28">
        <v>0.5354166666666667</v>
      </c>
      <c r="C177" s="5" t="s">
        <v>124</v>
      </c>
      <c r="D177" s="29">
        <v>43868.0</v>
      </c>
      <c r="E177" s="5">
        <v>30.5</v>
      </c>
      <c r="F177" s="5" t="s">
        <v>32</v>
      </c>
      <c r="G177" s="5">
        <v>33.48</v>
      </c>
      <c r="H177" s="5">
        <v>1736.0</v>
      </c>
      <c r="I177" s="5">
        <v>0.59</v>
      </c>
      <c r="J177" s="5" t="s">
        <v>39</v>
      </c>
      <c r="K177" s="5">
        <v>2792.0</v>
      </c>
      <c r="L177" s="5">
        <v>7614.0</v>
      </c>
      <c r="M177" s="30">
        <v>102424.0</v>
      </c>
      <c r="N177" s="15" t="str">
        <f t="array" ref="N177">IFERROR(VLOOKUP(T177,Ref_sheet!$A$1:$B$8,2,FALSE))</f>
        <v/>
      </c>
      <c r="O177" s="12">
        <v>36.0</v>
      </c>
      <c r="P177" s="5" t="s">
        <v>40</v>
      </c>
      <c r="Q177" s="5"/>
      <c r="R177" s="5" t="s">
        <v>35</v>
      </c>
      <c r="S177" s="5"/>
      <c r="T177" s="5" t="s">
        <v>46</v>
      </c>
    </row>
    <row r="178">
      <c r="A178" s="25">
        <v>43866.0</v>
      </c>
      <c r="B178" s="28">
        <v>0.5354166666666667</v>
      </c>
      <c r="C178" s="5" t="s">
        <v>56</v>
      </c>
      <c r="D178" s="29">
        <v>43921.0</v>
      </c>
      <c r="E178" s="5">
        <v>55.0</v>
      </c>
      <c r="F178" s="5" t="s">
        <v>38</v>
      </c>
      <c r="G178" s="5">
        <v>55.0</v>
      </c>
      <c r="H178" s="5">
        <v>504.0</v>
      </c>
      <c r="I178" s="5">
        <v>1.75</v>
      </c>
      <c r="J178" s="5" t="s">
        <v>48</v>
      </c>
      <c r="K178" s="5">
        <v>15698.0</v>
      </c>
      <c r="L178" s="5">
        <v>301.0</v>
      </c>
      <c r="M178" s="30">
        <v>88200.0</v>
      </c>
      <c r="N178" s="15" t="str">
        <f t="array" ref="N178">IFERROR(VLOOKUP(T178,Ref_sheet!$A$1:$B$8,2,FALSE))</f>
        <v/>
      </c>
      <c r="O178" s="12">
        <v>31.0</v>
      </c>
      <c r="P178" s="5" t="s">
        <v>34</v>
      </c>
      <c r="Q178" s="5"/>
      <c r="R178" s="5" t="s">
        <v>41</v>
      </c>
      <c r="S178" s="5"/>
      <c r="T178" s="5" t="s">
        <v>42</v>
      </c>
    </row>
    <row r="179">
      <c r="A179" s="25">
        <v>43866.0</v>
      </c>
      <c r="B179" s="28">
        <v>0.5340277777777778</v>
      </c>
      <c r="C179" s="5" t="s">
        <v>408</v>
      </c>
      <c r="D179" s="29">
        <v>43882.0</v>
      </c>
      <c r="E179" s="5">
        <v>54.0</v>
      </c>
      <c r="F179" s="5" t="s">
        <v>38</v>
      </c>
      <c r="G179" s="5">
        <v>51.66</v>
      </c>
      <c r="H179" s="5">
        <v>968.0</v>
      </c>
      <c r="I179" s="5">
        <v>0.32</v>
      </c>
      <c r="J179" s="5" t="s">
        <v>39</v>
      </c>
      <c r="K179" s="5">
        <v>2929.0</v>
      </c>
      <c r="L179" s="5">
        <v>2067.0</v>
      </c>
      <c r="M179" s="30">
        <v>30976.0</v>
      </c>
      <c r="N179" s="15" t="str">
        <f t="array" ref="N179">IFERROR(VLOOKUP(T179,Ref_sheet!$A$1:$B$8,2,FALSE))</f>
        <v/>
      </c>
      <c r="O179" s="12">
        <v>26.0</v>
      </c>
      <c r="P179" s="5" t="s">
        <v>162</v>
      </c>
      <c r="Q179" s="5"/>
      <c r="R179" s="5" t="s">
        <v>41</v>
      </c>
      <c r="S179" s="5"/>
      <c r="T179" s="5" t="s">
        <v>36</v>
      </c>
    </row>
    <row r="180">
      <c r="A180" s="25">
        <v>43866.0</v>
      </c>
      <c r="B180" s="28">
        <v>0.5340277777777778</v>
      </c>
      <c r="C180" s="5" t="s">
        <v>219</v>
      </c>
      <c r="D180" s="29">
        <v>43896.0</v>
      </c>
      <c r="E180" s="5">
        <v>50.5</v>
      </c>
      <c r="F180" s="5" t="s">
        <v>38</v>
      </c>
      <c r="G180" s="5">
        <v>49.8</v>
      </c>
      <c r="H180" s="5">
        <v>714.0</v>
      </c>
      <c r="I180" s="5">
        <v>2.24</v>
      </c>
      <c r="J180" s="5" t="s">
        <v>39</v>
      </c>
      <c r="K180" s="5">
        <v>809.0</v>
      </c>
      <c r="L180" s="5">
        <v>487.0</v>
      </c>
      <c r="M180" s="30">
        <v>159936.0</v>
      </c>
      <c r="N180" s="15" t="str">
        <f t="array" ref="N180">IFERROR(VLOOKUP(T180,Ref_sheet!$A$1:$B$8,2,FALSE))</f>
        <v/>
      </c>
      <c r="O180" s="12">
        <v>53.0</v>
      </c>
      <c r="P180" s="5" t="s">
        <v>40</v>
      </c>
      <c r="Q180" s="5"/>
      <c r="R180" s="5" t="s">
        <v>41</v>
      </c>
      <c r="S180" s="5"/>
      <c r="T180" s="5" t="s">
        <v>42</v>
      </c>
    </row>
    <row r="181">
      <c r="A181" s="25">
        <v>43866.0</v>
      </c>
      <c r="B181" s="28">
        <v>0.5333333333333333</v>
      </c>
      <c r="C181" s="5" t="s">
        <v>56</v>
      </c>
      <c r="D181" s="29">
        <v>43896.0</v>
      </c>
      <c r="E181" s="5">
        <v>53.5</v>
      </c>
      <c r="F181" s="5" t="s">
        <v>38</v>
      </c>
      <c r="G181" s="5">
        <v>55.02</v>
      </c>
      <c r="H181" s="5">
        <v>1014.0</v>
      </c>
      <c r="I181" s="5">
        <v>2.36</v>
      </c>
      <c r="J181" s="5" t="s">
        <v>39</v>
      </c>
      <c r="K181" s="5">
        <v>1024.0</v>
      </c>
      <c r="L181" s="5">
        <v>15.0</v>
      </c>
      <c r="M181" s="30">
        <v>239304.0</v>
      </c>
      <c r="N181" s="15" t="str">
        <f t="array" ref="N181">IFERROR(VLOOKUP(T181,Ref_sheet!$A$1:$B$8,2,FALSE))</f>
        <v/>
      </c>
      <c r="O181" s="12">
        <v>57.0</v>
      </c>
      <c r="P181" s="5" t="s">
        <v>34</v>
      </c>
      <c r="Q181" s="5"/>
      <c r="R181" s="5" t="s">
        <v>41</v>
      </c>
      <c r="S181" s="5"/>
      <c r="T181" s="5" t="s">
        <v>42</v>
      </c>
    </row>
    <row r="182">
      <c r="A182" s="25">
        <v>43866.0</v>
      </c>
      <c r="B182" s="28">
        <v>0.5326388888888889</v>
      </c>
      <c r="C182" s="5" t="s">
        <v>193</v>
      </c>
      <c r="D182" s="29">
        <v>43903.0</v>
      </c>
      <c r="E182" s="5">
        <v>63.0</v>
      </c>
      <c r="F182" s="5" t="s">
        <v>38</v>
      </c>
      <c r="G182" s="5">
        <v>62.54</v>
      </c>
      <c r="H182" s="5">
        <v>515.0</v>
      </c>
      <c r="I182" s="5">
        <v>1.07</v>
      </c>
      <c r="J182" s="5" t="s">
        <v>39</v>
      </c>
      <c r="K182" s="5">
        <v>1039.0</v>
      </c>
      <c r="L182" s="5">
        <v>178.0</v>
      </c>
      <c r="M182" s="30">
        <v>55105.0</v>
      </c>
      <c r="N182" s="15" t="str">
        <f t="array" ref="N182">IFERROR(VLOOKUP(T182,Ref_sheet!$A$1:$B$8,2,FALSE))</f>
        <v/>
      </c>
      <c r="O182" s="12">
        <v>40.0</v>
      </c>
      <c r="P182" s="5" t="s">
        <v>64</v>
      </c>
      <c r="Q182" s="5"/>
      <c r="R182" s="5" t="s">
        <v>41</v>
      </c>
      <c r="S182" s="5"/>
      <c r="T182" s="5" t="s">
        <v>42</v>
      </c>
    </row>
    <row r="183">
      <c r="A183" s="25">
        <v>43866.0</v>
      </c>
      <c r="B183" s="28">
        <v>0.5319444444444444</v>
      </c>
      <c r="C183" s="5" t="s">
        <v>238</v>
      </c>
      <c r="D183" s="29">
        <v>43868.0</v>
      </c>
      <c r="E183" s="5">
        <v>46.0</v>
      </c>
      <c r="F183" s="5" t="s">
        <v>32</v>
      </c>
      <c r="G183" s="5">
        <v>46.55</v>
      </c>
      <c r="H183" s="5">
        <v>780.0</v>
      </c>
      <c r="I183" s="5">
        <v>0.2</v>
      </c>
      <c r="J183" s="5" t="s">
        <v>39</v>
      </c>
      <c r="K183" s="5">
        <v>797.0</v>
      </c>
      <c r="L183" s="5">
        <v>608.0</v>
      </c>
      <c r="M183" s="30">
        <v>15600.0</v>
      </c>
      <c r="N183" s="15" t="str">
        <f t="array" ref="N183">IFERROR(VLOOKUP(T183,Ref_sheet!$A$1:$B$8,2,FALSE))</f>
        <v/>
      </c>
      <c r="O183" s="12">
        <v>57.0</v>
      </c>
      <c r="P183" s="5" t="s">
        <v>58</v>
      </c>
      <c r="Q183" s="5"/>
      <c r="R183" s="5" t="s">
        <v>35</v>
      </c>
      <c r="S183" s="5"/>
      <c r="T183" s="5" t="s">
        <v>42</v>
      </c>
    </row>
    <row r="184">
      <c r="A184" s="25">
        <v>43866.0</v>
      </c>
      <c r="B184" s="28">
        <v>0.5326388888888889</v>
      </c>
      <c r="C184" s="5" t="s">
        <v>141</v>
      </c>
      <c r="D184" s="29">
        <v>43868.0</v>
      </c>
      <c r="E184" s="5">
        <v>5.0</v>
      </c>
      <c r="F184" s="5" t="s">
        <v>38</v>
      </c>
      <c r="G184" s="5">
        <v>5.11</v>
      </c>
      <c r="H184" s="5">
        <v>1006.0</v>
      </c>
      <c r="I184" s="5">
        <v>0.19</v>
      </c>
      <c r="J184" s="5" t="s">
        <v>39</v>
      </c>
      <c r="K184" s="5">
        <v>1629.0</v>
      </c>
      <c r="L184" s="5">
        <v>3042.0</v>
      </c>
      <c r="M184" s="30">
        <v>19114.0</v>
      </c>
      <c r="N184" s="15" t="str">
        <f t="array" ref="N184">IFERROR(VLOOKUP(T184,Ref_sheet!$A$1:$B$8,2,FALSE))</f>
        <v/>
      </c>
      <c r="O184" s="12">
        <v>33.0</v>
      </c>
      <c r="P184" s="5" t="s">
        <v>64</v>
      </c>
      <c r="Q184" s="5"/>
      <c r="R184" s="5" t="s">
        <v>41</v>
      </c>
      <c r="S184" s="5"/>
      <c r="T184" s="5" t="s">
        <v>46</v>
      </c>
    </row>
    <row r="185">
      <c r="A185" s="25">
        <v>43866.0</v>
      </c>
      <c r="B185" s="28">
        <v>0.53125</v>
      </c>
      <c r="C185" s="5" t="s">
        <v>56</v>
      </c>
      <c r="D185" s="29">
        <v>43921.0</v>
      </c>
      <c r="E185" s="5">
        <v>55.0</v>
      </c>
      <c r="F185" s="5" t="s">
        <v>38</v>
      </c>
      <c r="G185" s="5">
        <v>54.98</v>
      </c>
      <c r="H185" s="5">
        <v>504.0</v>
      </c>
      <c r="I185" s="5">
        <v>1.72</v>
      </c>
      <c r="J185" s="5" t="s">
        <v>48</v>
      </c>
      <c r="K185" s="5">
        <v>15194.0</v>
      </c>
      <c r="L185" s="5">
        <v>301.0</v>
      </c>
      <c r="M185" s="30">
        <v>86688.0</v>
      </c>
      <c r="N185" s="15" t="str">
        <f t="array" ref="N185">IFERROR(VLOOKUP(T185,Ref_sheet!$A$1:$B$8,2,FALSE))</f>
        <v/>
      </c>
      <c r="O185" s="12">
        <v>31.0</v>
      </c>
      <c r="P185" s="5" t="s">
        <v>34</v>
      </c>
      <c r="Q185" s="5"/>
      <c r="R185" s="5" t="s">
        <v>41</v>
      </c>
      <c r="S185" s="5"/>
      <c r="T185" s="5" t="s">
        <v>42</v>
      </c>
    </row>
    <row r="186">
      <c r="A186" s="25">
        <v>43866.0</v>
      </c>
      <c r="B186" s="28">
        <v>0.5277777777777778</v>
      </c>
      <c r="C186" s="5" t="s">
        <v>170</v>
      </c>
      <c r="D186" s="29">
        <v>43903.0</v>
      </c>
      <c r="E186" s="5">
        <v>143.0</v>
      </c>
      <c r="F186" s="5" t="s">
        <v>38</v>
      </c>
      <c r="G186" s="5">
        <v>140.62</v>
      </c>
      <c r="H186" s="5">
        <v>300.0</v>
      </c>
      <c r="I186" s="5">
        <v>3.07</v>
      </c>
      <c r="J186" s="5" t="s">
        <v>48</v>
      </c>
      <c r="K186" s="5">
        <v>383.0</v>
      </c>
      <c r="L186" s="5">
        <v>76.0</v>
      </c>
      <c r="M186" s="30">
        <v>92100.0</v>
      </c>
      <c r="N186" s="15" t="str">
        <f t="array" ref="N186">IFERROR(VLOOKUP(T186,Ref_sheet!$A$1:$B$8,2,FALSE))</f>
        <v/>
      </c>
      <c r="O186" s="12">
        <v>46.0</v>
      </c>
      <c r="P186" s="5" t="s">
        <v>51</v>
      </c>
      <c r="Q186" s="5"/>
      <c r="R186" s="5" t="s">
        <v>41</v>
      </c>
      <c r="S186" s="5"/>
      <c r="T186" s="5" t="s">
        <v>42</v>
      </c>
    </row>
    <row r="187">
      <c r="A187" s="25">
        <v>43866.0</v>
      </c>
      <c r="B187" s="28">
        <v>0.5270833333333333</v>
      </c>
      <c r="C187" s="5" t="s">
        <v>409</v>
      </c>
      <c r="D187" s="29">
        <v>43882.0</v>
      </c>
      <c r="E187" s="5">
        <v>38.0</v>
      </c>
      <c r="F187" s="5" t="s">
        <v>38</v>
      </c>
      <c r="G187" s="5">
        <v>32.6</v>
      </c>
      <c r="H187" s="5">
        <v>530.0</v>
      </c>
      <c r="I187" s="5">
        <v>0.84</v>
      </c>
      <c r="J187" s="5" t="s">
        <v>33</v>
      </c>
      <c r="K187" s="5">
        <v>588.0</v>
      </c>
      <c r="L187" s="5">
        <v>141.0</v>
      </c>
      <c r="M187" s="30">
        <v>44520.0</v>
      </c>
      <c r="N187" s="15" t="str">
        <f t="array" ref="N187">IFERROR(VLOOKUP(T187,Ref_sheet!$A$1:$B$8,2,FALSE))</f>
        <v/>
      </c>
      <c r="O187" s="12">
        <v>76.0</v>
      </c>
      <c r="P187" s="5" t="s">
        <v>58</v>
      </c>
      <c r="Q187" s="5" t="b">
        <v>1</v>
      </c>
      <c r="R187" s="5" t="s">
        <v>41</v>
      </c>
      <c r="S187" s="5"/>
      <c r="T187" s="5" t="s">
        <v>66</v>
      </c>
    </row>
    <row r="188">
      <c r="A188" s="25">
        <v>43866.0</v>
      </c>
      <c r="B188" s="28">
        <v>0.5263888888888889</v>
      </c>
      <c r="C188" s="5" t="s">
        <v>170</v>
      </c>
      <c r="D188" s="29">
        <v>43910.0</v>
      </c>
      <c r="E188" s="5">
        <v>145.0</v>
      </c>
      <c r="F188" s="5" t="s">
        <v>38</v>
      </c>
      <c r="G188" s="5">
        <v>140.69</v>
      </c>
      <c r="H188" s="5">
        <v>600.0</v>
      </c>
      <c r="I188" s="5">
        <v>2.6</v>
      </c>
      <c r="J188" s="5" t="s">
        <v>48</v>
      </c>
      <c r="K188" s="5">
        <v>5147.0</v>
      </c>
      <c r="L188" s="5">
        <v>12547.0</v>
      </c>
      <c r="M188" s="30">
        <v>156000.0</v>
      </c>
      <c r="N188" s="15" t="str">
        <f t="array" ref="N188">IFERROR(VLOOKUP(T188,Ref_sheet!$A$1:$B$8,2,FALSE))</f>
        <v/>
      </c>
      <c r="O188" s="12">
        <v>11.0</v>
      </c>
      <c r="P188" s="5" t="s">
        <v>51</v>
      </c>
      <c r="Q188" s="5"/>
      <c r="R188" s="5" t="s">
        <v>41</v>
      </c>
      <c r="S188" s="5"/>
      <c r="T188" s="5" t="s">
        <v>46</v>
      </c>
    </row>
    <row r="189">
      <c r="A189" s="25">
        <v>43866.0</v>
      </c>
      <c r="B189" s="28">
        <v>0.5256944444444445</v>
      </c>
      <c r="C189" s="5" t="s">
        <v>37</v>
      </c>
      <c r="D189" s="29">
        <v>43868.0</v>
      </c>
      <c r="E189" s="5">
        <v>20.0</v>
      </c>
      <c r="F189" s="5" t="s">
        <v>38</v>
      </c>
      <c r="G189" s="5">
        <v>21.79</v>
      </c>
      <c r="H189" s="5">
        <v>510.0</v>
      </c>
      <c r="I189" s="5">
        <v>2.45</v>
      </c>
      <c r="J189" s="5" t="s">
        <v>33</v>
      </c>
      <c r="K189" s="5">
        <v>613.0</v>
      </c>
      <c r="L189" s="5">
        <v>554.0</v>
      </c>
      <c r="M189" s="30">
        <v>124950.0</v>
      </c>
      <c r="N189" s="15" t="str">
        <f t="array" ref="N189">IFERROR(VLOOKUP(T189,Ref_sheet!$A$1:$B$8,2,FALSE))</f>
        <v/>
      </c>
      <c r="O189" s="12">
        <v>57.0</v>
      </c>
      <c r="P189" s="5" t="s">
        <v>40</v>
      </c>
      <c r="Q189" s="5"/>
      <c r="R189" s="5" t="s">
        <v>41</v>
      </c>
      <c r="S189" s="5"/>
      <c r="T189" s="5" t="s">
        <v>36</v>
      </c>
    </row>
    <row r="190">
      <c r="A190" s="25">
        <v>43866.0</v>
      </c>
      <c r="B190" s="28">
        <v>0.5243055555555556</v>
      </c>
      <c r="C190" s="5" t="s">
        <v>410</v>
      </c>
      <c r="D190" s="29">
        <v>43882.0</v>
      </c>
      <c r="E190" s="5">
        <v>62.0</v>
      </c>
      <c r="F190" s="5" t="s">
        <v>38</v>
      </c>
      <c r="G190" s="5">
        <v>61.22</v>
      </c>
      <c r="H190" s="5">
        <v>200.0</v>
      </c>
      <c r="I190" s="5">
        <v>2.3</v>
      </c>
      <c r="J190" s="5" t="s">
        <v>48</v>
      </c>
      <c r="K190" s="5">
        <v>441.0</v>
      </c>
      <c r="L190" s="5">
        <v>142.0</v>
      </c>
      <c r="M190" s="30">
        <v>45999.0</v>
      </c>
      <c r="N190" s="15" t="str">
        <f t="array" ref="N190">IFERROR(VLOOKUP(T190,Ref_sheet!$A$1:$B$8,2,FALSE))</f>
        <v/>
      </c>
      <c r="O190" s="12">
        <v>42.0</v>
      </c>
      <c r="P190" s="5" t="s">
        <v>40</v>
      </c>
      <c r="Q190" s="5"/>
      <c r="R190" s="5" t="s">
        <v>41</v>
      </c>
      <c r="S190" s="5"/>
      <c r="T190" s="5" t="s">
        <v>42</v>
      </c>
    </row>
    <row r="191">
      <c r="A191" s="25">
        <v>43866.0</v>
      </c>
      <c r="B191" s="28">
        <v>0.5243055555555556</v>
      </c>
      <c r="C191" s="5" t="s">
        <v>133</v>
      </c>
      <c r="D191" s="29">
        <v>43882.0</v>
      </c>
      <c r="E191" s="5">
        <v>13.0</v>
      </c>
      <c r="F191" s="5" t="s">
        <v>38</v>
      </c>
      <c r="G191" s="5">
        <v>12.13</v>
      </c>
      <c r="H191" s="5">
        <v>1236.0</v>
      </c>
      <c r="I191" s="5">
        <v>0.48</v>
      </c>
      <c r="J191" s="5" t="s">
        <v>39</v>
      </c>
      <c r="K191" s="5">
        <v>29436.0</v>
      </c>
      <c r="L191" s="5">
        <v>41433.0</v>
      </c>
      <c r="M191" s="30">
        <v>59328.0</v>
      </c>
      <c r="N191" s="15" t="str">
        <f t="array" ref="N191">IFERROR(VLOOKUP(T191,Ref_sheet!$A$1:$B$8,2,FALSE))</f>
        <v/>
      </c>
      <c r="O191" s="12">
        <v>12.0</v>
      </c>
      <c r="P191" s="5" t="s">
        <v>53</v>
      </c>
      <c r="Q191" s="5"/>
      <c r="R191" s="5" t="s">
        <v>41</v>
      </c>
      <c r="S191" s="5"/>
      <c r="T191" s="5" t="s">
        <v>46</v>
      </c>
    </row>
    <row r="192">
      <c r="A192" s="25">
        <v>43866.0</v>
      </c>
      <c r="B192" s="28">
        <v>0.5243055555555556</v>
      </c>
      <c r="C192" s="5" t="s">
        <v>411</v>
      </c>
      <c r="D192" s="29">
        <v>43882.0</v>
      </c>
      <c r="E192" s="5">
        <v>119.0</v>
      </c>
      <c r="F192" s="5" t="s">
        <v>38</v>
      </c>
      <c r="G192" s="5">
        <v>116.11</v>
      </c>
      <c r="H192" s="5">
        <v>322.0</v>
      </c>
      <c r="I192" s="5">
        <v>1.9</v>
      </c>
      <c r="J192" s="5" t="s">
        <v>39</v>
      </c>
      <c r="K192" s="5">
        <v>322.0</v>
      </c>
      <c r="L192" s="5">
        <v>43.0</v>
      </c>
      <c r="M192" s="30">
        <v>61180.0</v>
      </c>
      <c r="N192" s="15" t="str">
        <f t="array" ref="N192">IFERROR(VLOOKUP(T192,Ref_sheet!$A$1:$B$8,2,FALSE))</f>
        <v/>
      </c>
      <c r="O192" s="12">
        <v>55.0</v>
      </c>
      <c r="P192" s="5" t="s">
        <v>40</v>
      </c>
      <c r="Q192" s="5"/>
      <c r="R192" s="5" t="s">
        <v>41</v>
      </c>
      <c r="S192" s="5"/>
      <c r="T192" s="5" t="s">
        <v>42</v>
      </c>
    </row>
    <row r="193">
      <c r="A193" s="25">
        <v>43866.0</v>
      </c>
      <c r="B193" s="28">
        <v>0.5229166666666667</v>
      </c>
      <c r="C193" s="5" t="s">
        <v>412</v>
      </c>
      <c r="D193" s="29">
        <v>43868.0</v>
      </c>
      <c r="E193" s="5">
        <v>112.0</v>
      </c>
      <c r="F193" s="5" t="s">
        <v>38</v>
      </c>
      <c r="G193" s="5">
        <v>108.56</v>
      </c>
      <c r="H193" s="5">
        <v>1166.0</v>
      </c>
      <c r="I193" s="5">
        <v>0.35</v>
      </c>
      <c r="J193" s="5" t="s">
        <v>39</v>
      </c>
      <c r="K193" s="5">
        <v>1227.0</v>
      </c>
      <c r="L193" s="5">
        <v>182.0</v>
      </c>
      <c r="M193" s="30">
        <v>40742.0</v>
      </c>
      <c r="N193" s="15" t="str">
        <f t="array" ref="N193">IFERROR(VLOOKUP(T193,Ref_sheet!$A$1:$B$8,2,FALSE))</f>
        <v/>
      </c>
      <c r="O193" s="12">
        <v>57.0</v>
      </c>
      <c r="P193" s="5" t="s">
        <v>40</v>
      </c>
      <c r="Q193" s="5"/>
      <c r="R193" s="5" t="s">
        <v>41</v>
      </c>
      <c r="S193" s="5"/>
      <c r="T193" s="5" t="s">
        <v>42</v>
      </c>
    </row>
    <row r="194">
      <c r="A194" s="25">
        <v>43866.0</v>
      </c>
      <c r="B194" s="28">
        <v>0.5215277777777778</v>
      </c>
      <c r="C194" s="5" t="s">
        <v>356</v>
      </c>
      <c r="D194" s="29">
        <v>43875.0</v>
      </c>
      <c r="E194" s="5">
        <v>55.5</v>
      </c>
      <c r="F194" s="5" t="s">
        <v>32</v>
      </c>
      <c r="G194" s="5">
        <v>56.75</v>
      </c>
      <c r="H194" s="5">
        <v>545.0</v>
      </c>
      <c r="I194" s="5">
        <v>0.87</v>
      </c>
      <c r="J194" s="5" t="s">
        <v>39</v>
      </c>
      <c r="K194" s="5">
        <v>603.0</v>
      </c>
      <c r="L194" s="5">
        <v>312.0</v>
      </c>
      <c r="M194" s="30">
        <v>47415.0</v>
      </c>
      <c r="N194" s="15" t="str">
        <f t="array" ref="N194">IFERROR(VLOOKUP(T194,Ref_sheet!$A$1:$B$8,2,FALSE))</f>
        <v/>
      </c>
      <c r="O194" s="12">
        <v>53.0</v>
      </c>
      <c r="P194" s="5" t="s">
        <v>40</v>
      </c>
      <c r="Q194" s="5"/>
      <c r="R194" s="5" t="s">
        <v>35</v>
      </c>
      <c r="S194" s="5"/>
      <c r="T194" s="5" t="s">
        <v>42</v>
      </c>
    </row>
    <row r="195">
      <c r="A195" s="25">
        <v>43866.0</v>
      </c>
      <c r="B195" s="28">
        <v>0.5215277777777778</v>
      </c>
      <c r="C195" s="5" t="s">
        <v>122</v>
      </c>
      <c r="D195" s="29">
        <v>43868.0</v>
      </c>
      <c r="E195" s="5">
        <v>34.5</v>
      </c>
      <c r="F195" s="5" t="s">
        <v>32</v>
      </c>
      <c r="G195" s="5">
        <v>34.73</v>
      </c>
      <c r="H195" s="5">
        <v>718.0</v>
      </c>
      <c r="I195" s="5">
        <v>0.21</v>
      </c>
      <c r="J195" s="5" t="s">
        <v>39</v>
      </c>
      <c r="K195" s="5">
        <v>10713.0</v>
      </c>
      <c r="L195" s="5">
        <v>3060.0</v>
      </c>
      <c r="M195" s="30">
        <v>15078.0</v>
      </c>
      <c r="N195" s="15" t="str">
        <f t="array" ref="N195">IFERROR(VLOOKUP(T195,Ref_sheet!$A$1:$B$8,2,FALSE))</f>
        <v/>
      </c>
      <c r="O195" s="12">
        <v>20.0</v>
      </c>
      <c r="P195" s="5" t="s">
        <v>162</v>
      </c>
      <c r="Q195" s="5"/>
      <c r="R195" s="5" t="s">
        <v>35</v>
      </c>
      <c r="S195" s="5"/>
      <c r="T195" s="5" t="s">
        <v>36</v>
      </c>
    </row>
    <row r="196">
      <c r="A196" s="25">
        <v>43866.0</v>
      </c>
      <c r="B196" s="28">
        <v>0.5208333333333334</v>
      </c>
      <c r="C196" s="5" t="s">
        <v>137</v>
      </c>
      <c r="D196" s="29">
        <v>44092.0</v>
      </c>
      <c r="E196" s="5">
        <v>39.0</v>
      </c>
      <c r="F196" s="5" t="s">
        <v>32</v>
      </c>
      <c r="G196" s="5">
        <v>44.0</v>
      </c>
      <c r="H196" s="5">
        <v>6300.0</v>
      </c>
      <c r="I196" s="5">
        <v>0.88</v>
      </c>
      <c r="J196" s="5" t="s">
        <v>48</v>
      </c>
      <c r="K196" s="5">
        <v>6300.0</v>
      </c>
      <c r="L196" s="5">
        <v>6.0</v>
      </c>
      <c r="M196" s="30">
        <v>554400.0</v>
      </c>
      <c r="N196" s="15" t="str">
        <f t="array" ref="N196">IFERROR(VLOOKUP(T196,Ref_sheet!$A$1:$B$8,2,FALSE))</f>
        <v/>
      </c>
      <c r="O196" s="12">
        <v>50.0</v>
      </c>
      <c r="P196" s="5" t="s">
        <v>34</v>
      </c>
      <c r="Q196" s="5"/>
      <c r="R196" s="5" t="s">
        <v>35</v>
      </c>
      <c r="S196" s="5"/>
      <c r="T196" s="5" t="s">
        <v>42</v>
      </c>
    </row>
    <row r="197">
      <c r="A197" s="25">
        <v>43866.0</v>
      </c>
      <c r="B197" s="28">
        <v>0.5201388888888889</v>
      </c>
      <c r="C197" s="5" t="s">
        <v>328</v>
      </c>
      <c r="D197" s="29">
        <v>43966.0</v>
      </c>
      <c r="E197" s="5">
        <v>400.0</v>
      </c>
      <c r="F197" s="5" t="s">
        <v>38</v>
      </c>
      <c r="G197" s="5">
        <v>323.74</v>
      </c>
      <c r="H197" s="5">
        <v>206.0</v>
      </c>
      <c r="I197" s="5">
        <v>1.62</v>
      </c>
      <c r="J197" s="5" t="s">
        <v>39</v>
      </c>
      <c r="K197" s="5">
        <v>2139.0</v>
      </c>
      <c r="L197" s="5">
        <v>1417.0</v>
      </c>
      <c r="M197" s="30">
        <v>33351.0</v>
      </c>
      <c r="N197" s="15" t="str">
        <f t="array" ref="N197">IFERROR(VLOOKUP(T197,Ref_sheet!$A$1:$B$8,2,FALSE))</f>
        <v/>
      </c>
      <c r="O197" s="12">
        <v>8.0</v>
      </c>
      <c r="P197" s="5" t="s">
        <v>182</v>
      </c>
      <c r="Q197" s="5"/>
      <c r="R197" s="5" t="s">
        <v>41</v>
      </c>
      <c r="S197" s="5"/>
      <c r="T197" s="5" t="s">
        <v>36</v>
      </c>
    </row>
    <row r="198">
      <c r="A198" s="25">
        <v>43866.0</v>
      </c>
      <c r="B198" s="28">
        <v>0.5194444444444445</v>
      </c>
      <c r="C198" s="5" t="s">
        <v>60</v>
      </c>
      <c r="D198" s="29">
        <v>43882.0</v>
      </c>
      <c r="E198" s="5">
        <v>2060.0</v>
      </c>
      <c r="F198" s="5" t="s">
        <v>38</v>
      </c>
      <c r="G198" s="5">
        <v>2046.71</v>
      </c>
      <c r="H198" s="5">
        <v>133.0</v>
      </c>
      <c r="I198" s="5">
        <v>32.8</v>
      </c>
      <c r="J198" s="5" t="s">
        <v>48</v>
      </c>
      <c r="K198" s="5">
        <v>483.0</v>
      </c>
      <c r="L198" s="5">
        <v>732.0</v>
      </c>
      <c r="M198" s="30">
        <v>436239.0</v>
      </c>
      <c r="N198" s="15" t="str">
        <f t="array" ref="N198">IFERROR(VLOOKUP(T198,Ref_sheet!$A$1:$B$8,2,FALSE))</f>
        <v/>
      </c>
      <c r="O198" s="12">
        <v>25.0</v>
      </c>
      <c r="P198" s="5" t="s">
        <v>51</v>
      </c>
      <c r="Q198" s="5"/>
      <c r="R198" s="5" t="s">
        <v>41</v>
      </c>
      <c r="S198" s="5"/>
      <c r="T198" s="5" t="s">
        <v>46</v>
      </c>
    </row>
    <row r="199">
      <c r="A199" s="25">
        <v>43866.0</v>
      </c>
      <c r="B199" s="28">
        <v>0.5194444444444445</v>
      </c>
      <c r="C199" s="5" t="s">
        <v>103</v>
      </c>
      <c r="D199" s="29">
        <v>43868.0</v>
      </c>
      <c r="E199" s="5">
        <v>132.0</v>
      </c>
      <c r="F199" s="5" t="s">
        <v>38</v>
      </c>
      <c r="G199" s="5">
        <v>131.89</v>
      </c>
      <c r="H199" s="5">
        <v>505.0</v>
      </c>
      <c r="I199" s="5">
        <v>1.18</v>
      </c>
      <c r="J199" s="5" t="s">
        <v>39</v>
      </c>
      <c r="K199" s="5">
        <v>1953.0</v>
      </c>
      <c r="L199" s="5">
        <v>173.0</v>
      </c>
      <c r="M199" s="30">
        <v>59454.0</v>
      </c>
      <c r="N199" s="15" t="str">
        <f t="array" ref="N199">IFERROR(VLOOKUP(T199,Ref_sheet!$A$1:$B$8,2,FALSE))</f>
        <v/>
      </c>
      <c r="O199" s="12">
        <v>45.0</v>
      </c>
      <c r="P199" s="5" t="s">
        <v>40</v>
      </c>
      <c r="Q199" s="5"/>
      <c r="R199" s="5" t="s">
        <v>41</v>
      </c>
      <c r="S199" s="5"/>
      <c r="T199" s="5" t="s">
        <v>42</v>
      </c>
    </row>
    <row r="200">
      <c r="A200" s="25">
        <v>43866.0</v>
      </c>
      <c r="B200" s="28">
        <v>0.5180555555555556</v>
      </c>
      <c r="C200" s="5" t="s">
        <v>413</v>
      </c>
      <c r="D200" s="29">
        <v>43882.0</v>
      </c>
      <c r="E200" s="5">
        <v>160.0</v>
      </c>
      <c r="F200" s="5" t="s">
        <v>38</v>
      </c>
      <c r="G200" s="5">
        <v>156.44</v>
      </c>
      <c r="H200" s="5">
        <v>258.0</v>
      </c>
      <c r="I200" s="5">
        <v>1.16</v>
      </c>
      <c r="J200" s="5" t="s">
        <v>39</v>
      </c>
      <c r="K200" s="5">
        <v>2795.0</v>
      </c>
      <c r="L200" s="5">
        <v>616.0</v>
      </c>
      <c r="M200" s="30">
        <v>29876.0</v>
      </c>
      <c r="N200" s="15" t="str">
        <f t="array" ref="N200">IFERROR(VLOOKUP(T200,Ref_sheet!$A$1:$B$8,2,FALSE))</f>
        <v/>
      </c>
      <c r="O200" s="12">
        <v>20.0</v>
      </c>
      <c r="P200" s="5" t="s">
        <v>40</v>
      </c>
      <c r="Q200" s="5"/>
      <c r="R200" s="5" t="s">
        <v>41</v>
      </c>
      <c r="S200" s="5"/>
      <c r="T200" s="5" t="s">
        <v>36</v>
      </c>
    </row>
    <row r="201">
      <c r="A201" s="25">
        <v>43866.0</v>
      </c>
      <c r="B201" s="28">
        <v>0.5180555555555556</v>
      </c>
      <c r="C201" s="5" t="s">
        <v>122</v>
      </c>
      <c r="D201" s="29">
        <v>43938.0</v>
      </c>
      <c r="E201" s="5">
        <v>35.0</v>
      </c>
      <c r="F201" s="5" t="s">
        <v>38</v>
      </c>
      <c r="G201" s="5">
        <v>34.77</v>
      </c>
      <c r="H201" s="5">
        <v>5778.0</v>
      </c>
      <c r="I201" s="5">
        <v>1.19</v>
      </c>
      <c r="J201" s="5" t="s">
        <v>39</v>
      </c>
      <c r="K201" s="5">
        <v>7279.0</v>
      </c>
      <c r="L201" s="5">
        <v>12746.0</v>
      </c>
      <c r="M201" s="30">
        <v>686843.0</v>
      </c>
      <c r="N201" s="15" t="str">
        <f t="array" ref="N201">IFERROR(VLOOKUP(T201,Ref_sheet!$A$1:$B$8,2,FALSE))</f>
        <v/>
      </c>
      <c r="O201" s="12">
        <v>32.0</v>
      </c>
      <c r="P201" s="5" t="s">
        <v>162</v>
      </c>
      <c r="Q201" s="5"/>
      <c r="R201" s="5" t="s">
        <v>41</v>
      </c>
      <c r="S201" s="5"/>
      <c r="T201" s="5" t="s">
        <v>46</v>
      </c>
    </row>
    <row r="202">
      <c r="A202" s="25">
        <v>43866.0</v>
      </c>
      <c r="B202" s="28">
        <v>0.5180555555555556</v>
      </c>
      <c r="C202" s="5" t="s">
        <v>55</v>
      </c>
      <c r="D202" s="29">
        <v>43910.0</v>
      </c>
      <c r="E202" s="5">
        <v>70.0</v>
      </c>
      <c r="F202" s="5" t="s">
        <v>32</v>
      </c>
      <c r="G202" s="5">
        <v>76.68</v>
      </c>
      <c r="H202" s="5">
        <v>1113.0</v>
      </c>
      <c r="I202" s="5">
        <v>1.6</v>
      </c>
      <c r="J202" s="5" t="s">
        <v>39</v>
      </c>
      <c r="K202" s="5">
        <v>1905.0</v>
      </c>
      <c r="L202" s="5">
        <v>322.0</v>
      </c>
      <c r="M202" s="30">
        <v>178080.0</v>
      </c>
      <c r="N202" s="15" t="str">
        <f t="array" ref="N202">IFERROR(VLOOKUP(T202,Ref_sheet!$A$1:$B$8,2,FALSE))</f>
        <v/>
      </c>
      <c r="O202" s="12">
        <v>44.0</v>
      </c>
      <c r="P202" s="5" t="s">
        <v>51</v>
      </c>
      <c r="Q202" s="5"/>
      <c r="R202" s="5" t="s">
        <v>35</v>
      </c>
      <c r="S202" s="5"/>
      <c r="T202" s="5" t="s">
        <v>42</v>
      </c>
    </row>
    <row r="203">
      <c r="A203" s="25">
        <v>43866.0</v>
      </c>
      <c r="B203" s="28">
        <v>0.5180555555555556</v>
      </c>
      <c r="C203" s="5" t="s">
        <v>103</v>
      </c>
      <c r="D203" s="29">
        <v>43868.0</v>
      </c>
      <c r="E203" s="5">
        <v>132.0</v>
      </c>
      <c r="F203" s="5" t="s">
        <v>38</v>
      </c>
      <c r="G203" s="5">
        <v>131.67</v>
      </c>
      <c r="H203" s="5">
        <v>577.0</v>
      </c>
      <c r="I203" s="5">
        <v>1.06</v>
      </c>
      <c r="J203" s="5" t="s">
        <v>39</v>
      </c>
      <c r="K203" s="5">
        <v>1353.0</v>
      </c>
      <c r="L203" s="5">
        <v>173.0</v>
      </c>
      <c r="M203" s="30">
        <v>61224.0</v>
      </c>
      <c r="N203" s="15" t="str">
        <f t="array" ref="N203">IFERROR(VLOOKUP(T203,Ref_sheet!$A$1:$B$8,2,FALSE))</f>
        <v/>
      </c>
      <c r="O203" s="12">
        <v>49.0</v>
      </c>
      <c r="P203" s="5" t="s">
        <v>40</v>
      </c>
      <c r="Q203" s="5"/>
      <c r="R203" s="5" t="s">
        <v>41</v>
      </c>
      <c r="S203" s="5"/>
      <c r="T203" s="5" t="s">
        <v>42</v>
      </c>
    </row>
    <row r="204">
      <c r="A204" s="25">
        <v>43866.0</v>
      </c>
      <c r="B204" s="28">
        <v>0.5180555555555556</v>
      </c>
      <c r="C204" s="5" t="s">
        <v>353</v>
      </c>
      <c r="D204" s="29">
        <v>43910.0</v>
      </c>
      <c r="E204" s="5">
        <v>125.0</v>
      </c>
      <c r="F204" s="5" t="s">
        <v>38</v>
      </c>
      <c r="G204" s="5">
        <v>110.24</v>
      </c>
      <c r="H204" s="5">
        <v>250.0</v>
      </c>
      <c r="I204" s="5">
        <v>1.15</v>
      </c>
      <c r="J204" s="5" t="s">
        <v>39</v>
      </c>
      <c r="K204" s="5">
        <v>251.0</v>
      </c>
      <c r="L204" s="5">
        <v>619.0</v>
      </c>
      <c r="M204" s="30">
        <v>28750.0</v>
      </c>
      <c r="N204" s="15" t="str">
        <f t="array" ref="N204">IFERROR(VLOOKUP(T204,Ref_sheet!$A$1:$B$8,2,FALSE))</f>
        <v/>
      </c>
      <c r="O204" s="12">
        <v>33.0</v>
      </c>
      <c r="P204" s="5" t="s">
        <v>51</v>
      </c>
      <c r="Q204" s="5"/>
      <c r="R204" s="5" t="s">
        <v>41</v>
      </c>
      <c r="S204" s="5"/>
      <c r="T204" s="5" t="s">
        <v>46</v>
      </c>
    </row>
    <row r="205">
      <c r="A205" s="25">
        <v>43866.0</v>
      </c>
      <c r="B205" s="28">
        <v>0.5173611111111112</v>
      </c>
      <c r="C205" s="5" t="s">
        <v>414</v>
      </c>
      <c r="D205" s="29">
        <v>43882.0</v>
      </c>
      <c r="E205" s="5">
        <v>26.0</v>
      </c>
      <c r="F205" s="5" t="s">
        <v>38</v>
      </c>
      <c r="G205" s="5">
        <v>24.89</v>
      </c>
      <c r="H205" s="5">
        <v>505.0</v>
      </c>
      <c r="I205" s="5">
        <v>0.55</v>
      </c>
      <c r="J205" s="5" t="s">
        <v>39</v>
      </c>
      <c r="K205" s="5">
        <v>872.0</v>
      </c>
      <c r="L205" s="5">
        <v>304.0</v>
      </c>
      <c r="M205" s="30">
        <v>27775.0</v>
      </c>
      <c r="N205" s="15" t="str">
        <f t="array" ref="N205">IFERROR(VLOOKUP(T205,Ref_sheet!$A$1:$B$8,2,FALSE))</f>
        <v/>
      </c>
      <c r="O205" s="12">
        <v>44.0</v>
      </c>
      <c r="P205" s="5" t="s">
        <v>58</v>
      </c>
      <c r="Q205" s="5"/>
      <c r="R205" s="5" t="s">
        <v>41</v>
      </c>
      <c r="S205" s="5"/>
      <c r="T205" s="5" t="s">
        <v>42</v>
      </c>
    </row>
    <row r="206">
      <c r="A206" s="25">
        <v>43866.0</v>
      </c>
      <c r="B206" s="28">
        <v>0.5166666666666667</v>
      </c>
      <c r="C206" s="5" t="s">
        <v>56</v>
      </c>
      <c r="D206" s="29">
        <v>43921.0</v>
      </c>
      <c r="E206" s="5">
        <v>55.0</v>
      </c>
      <c r="F206" s="5" t="s">
        <v>38</v>
      </c>
      <c r="G206" s="5">
        <v>54.86</v>
      </c>
      <c r="H206" s="5">
        <v>504.0</v>
      </c>
      <c r="I206" s="5">
        <v>1.62</v>
      </c>
      <c r="J206" s="5" t="s">
        <v>39</v>
      </c>
      <c r="K206" s="5">
        <v>14159.0</v>
      </c>
      <c r="L206" s="5">
        <v>301.0</v>
      </c>
      <c r="M206" s="30">
        <v>81648.0</v>
      </c>
      <c r="N206" s="15" t="str">
        <f t="array" ref="N206">IFERROR(VLOOKUP(T206,Ref_sheet!$A$1:$B$8,2,FALSE))</f>
        <v/>
      </c>
      <c r="O206" s="12">
        <v>31.0</v>
      </c>
      <c r="P206" s="5" t="s">
        <v>34</v>
      </c>
      <c r="Q206" s="5"/>
      <c r="R206" s="5" t="s">
        <v>41</v>
      </c>
      <c r="S206" s="5"/>
      <c r="T206" s="5" t="s">
        <v>42</v>
      </c>
    </row>
    <row r="207">
      <c r="A207" s="25">
        <v>43866.0</v>
      </c>
      <c r="B207" s="28">
        <v>0.5159722222222223</v>
      </c>
      <c r="C207" s="5" t="s">
        <v>260</v>
      </c>
      <c r="D207" s="29">
        <v>43910.0</v>
      </c>
      <c r="E207" s="5">
        <v>80.0</v>
      </c>
      <c r="F207" s="5" t="s">
        <v>38</v>
      </c>
      <c r="G207" s="5">
        <v>78.52</v>
      </c>
      <c r="H207" s="5">
        <v>1627.0</v>
      </c>
      <c r="I207" s="5">
        <v>1.81</v>
      </c>
      <c r="J207" s="5" t="s">
        <v>39</v>
      </c>
      <c r="K207" s="5">
        <v>3811.0</v>
      </c>
      <c r="L207" s="5">
        <v>22762.0</v>
      </c>
      <c r="M207" s="30">
        <v>294487.0</v>
      </c>
      <c r="N207" s="15" t="str">
        <f t="array" ref="N207">IFERROR(VLOOKUP(T207,Ref_sheet!$A$1:$B$8,2,FALSE))</f>
        <v/>
      </c>
      <c r="O207" s="12">
        <v>19.0</v>
      </c>
      <c r="P207" s="5" t="s">
        <v>162</v>
      </c>
      <c r="Q207" s="5"/>
      <c r="R207" s="5" t="s">
        <v>41</v>
      </c>
      <c r="S207" s="5"/>
      <c r="T207" s="5" t="s">
        <v>46</v>
      </c>
    </row>
    <row r="208">
      <c r="A208" s="25">
        <v>43866.0</v>
      </c>
      <c r="B208" s="28">
        <v>0.5159722222222223</v>
      </c>
      <c r="C208" s="5" t="s">
        <v>106</v>
      </c>
      <c r="D208" s="29">
        <v>43868.0</v>
      </c>
      <c r="E208" s="5">
        <v>7.5</v>
      </c>
      <c r="F208" s="5" t="s">
        <v>38</v>
      </c>
      <c r="G208" s="5">
        <v>7.78</v>
      </c>
      <c r="H208" s="5">
        <v>809.0</v>
      </c>
      <c r="I208" s="5">
        <v>0.34</v>
      </c>
      <c r="J208" s="5" t="s">
        <v>39</v>
      </c>
      <c r="K208" s="5">
        <v>2111.0</v>
      </c>
      <c r="L208" s="5">
        <v>6884.0</v>
      </c>
      <c r="M208" s="30">
        <v>27506.0</v>
      </c>
      <c r="N208" s="15" t="str">
        <f t="array" ref="N208">IFERROR(VLOOKUP(T208,Ref_sheet!$A$1:$B$8,2,FALSE))</f>
        <v/>
      </c>
      <c r="O208" s="12">
        <v>23.0</v>
      </c>
      <c r="P208" s="5" t="s">
        <v>45</v>
      </c>
      <c r="Q208" s="5"/>
      <c r="R208" s="5" t="s">
        <v>41</v>
      </c>
      <c r="S208" s="5"/>
      <c r="T208" s="5" t="s">
        <v>46</v>
      </c>
    </row>
    <row r="209">
      <c r="A209" s="25">
        <v>43866.0</v>
      </c>
      <c r="B209" s="28">
        <v>0.5152777777777777</v>
      </c>
      <c r="C209" s="5" t="s">
        <v>122</v>
      </c>
      <c r="D209" s="29">
        <v>43868.0</v>
      </c>
      <c r="E209" s="5">
        <v>34.5</v>
      </c>
      <c r="F209" s="5" t="s">
        <v>32</v>
      </c>
      <c r="G209" s="5">
        <v>34.75</v>
      </c>
      <c r="H209" s="5">
        <v>999.0</v>
      </c>
      <c r="I209" s="5">
        <v>0.2</v>
      </c>
      <c r="J209" s="5" t="s">
        <v>39</v>
      </c>
      <c r="K209" s="5">
        <v>9781.0</v>
      </c>
      <c r="L209" s="5">
        <v>3060.0</v>
      </c>
      <c r="M209" s="30">
        <v>19980.0</v>
      </c>
      <c r="N209" s="15" t="str">
        <f t="array" ref="N209">IFERROR(VLOOKUP(T209,Ref_sheet!$A$1:$B$8,2,FALSE))</f>
        <v/>
      </c>
      <c r="O209" s="12">
        <v>23.0</v>
      </c>
      <c r="P209" s="5" t="s">
        <v>162</v>
      </c>
      <c r="Q209" s="5"/>
      <c r="R209" s="5" t="s">
        <v>35</v>
      </c>
      <c r="S209" s="5"/>
      <c r="T209" s="5" t="s">
        <v>36</v>
      </c>
    </row>
    <row r="210">
      <c r="A210" s="25">
        <v>43866.0</v>
      </c>
      <c r="B210" s="28">
        <v>0.5145833333333333</v>
      </c>
      <c r="C210" s="5" t="s">
        <v>43</v>
      </c>
      <c r="D210" s="29">
        <v>44120.0</v>
      </c>
      <c r="E210" s="5">
        <v>24.0</v>
      </c>
      <c r="F210" s="5" t="s">
        <v>38</v>
      </c>
      <c r="G210" s="5">
        <v>19.93</v>
      </c>
      <c r="H210" s="5">
        <v>1281.0</v>
      </c>
      <c r="I210" s="5">
        <v>0.73</v>
      </c>
      <c r="J210" s="5" t="s">
        <v>39</v>
      </c>
      <c r="K210" s="5">
        <v>10083.0</v>
      </c>
      <c r="L210" s="5">
        <v>4649.0</v>
      </c>
      <c r="M210" s="30">
        <v>93513.0</v>
      </c>
      <c r="N210" s="15" t="str">
        <f t="array" ref="N210">IFERROR(VLOOKUP(T210,Ref_sheet!$A$1:$B$8,2,FALSE))</f>
        <v/>
      </c>
      <c r="O210" s="12">
        <v>12.0</v>
      </c>
      <c r="P210" s="5" t="s">
        <v>34</v>
      </c>
      <c r="Q210" s="5"/>
      <c r="R210" s="5" t="s">
        <v>41</v>
      </c>
      <c r="S210" s="5"/>
      <c r="T210" s="5" t="s">
        <v>36</v>
      </c>
    </row>
    <row r="211">
      <c r="A211" s="25">
        <v>43866.0</v>
      </c>
      <c r="B211" s="28">
        <v>0.5138888888888888</v>
      </c>
      <c r="C211" s="5" t="s">
        <v>43</v>
      </c>
      <c r="D211" s="29">
        <v>44120.0</v>
      </c>
      <c r="E211" s="5">
        <v>24.0</v>
      </c>
      <c r="F211" s="5" t="s">
        <v>38</v>
      </c>
      <c r="G211" s="5">
        <v>19.94</v>
      </c>
      <c r="H211" s="5">
        <v>584.0</v>
      </c>
      <c r="I211" s="5">
        <v>0.73</v>
      </c>
      <c r="J211" s="5" t="s">
        <v>39</v>
      </c>
      <c r="K211" s="5">
        <v>6697.0</v>
      </c>
      <c r="L211" s="5">
        <v>4649.0</v>
      </c>
      <c r="M211" s="30">
        <v>42632.0</v>
      </c>
      <c r="N211" s="15" t="str">
        <f t="array" ref="N211">IFERROR(VLOOKUP(T211,Ref_sheet!$A$1:$B$8,2,FALSE))</f>
        <v/>
      </c>
      <c r="O211" s="12">
        <v>7.0</v>
      </c>
      <c r="P211" s="5" t="s">
        <v>34</v>
      </c>
      <c r="Q211" s="5"/>
      <c r="R211" s="5" t="s">
        <v>41</v>
      </c>
      <c r="S211" s="5"/>
      <c r="T211" s="5" t="s">
        <v>36</v>
      </c>
    </row>
    <row r="212">
      <c r="A212" s="25">
        <v>43866.0</v>
      </c>
      <c r="B212" s="28">
        <v>0.5118055555555555</v>
      </c>
      <c r="C212" s="5" t="s">
        <v>151</v>
      </c>
      <c r="D212" s="29">
        <v>43910.0</v>
      </c>
      <c r="E212" s="5">
        <v>18.0</v>
      </c>
      <c r="F212" s="5" t="s">
        <v>38</v>
      </c>
      <c r="G212" s="5">
        <v>15.75</v>
      </c>
      <c r="H212" s="5">
        <v>1142.0</v>
      </c>
      <c r="I212" s="5">
        <v>0.3</v>
      </c>
      <c r="J212" s="5" t="s">
        <v>39</v>
      </c>
      <c r="K212" s="5">
        <v>7055.0</v>
      </c>
      <c r="L212" s="5">
        <v>659.0</v>
      </c>
      <c r="M212" s="30">
        <v>34254.0</v>
      </c>
      <c r="N212" s="15" t="str">
        <f t="array" ref="N212">IFERROR(VLOOKUP(T212,Ref_sheet!$A$1:$B$8,2,FALSE))</f>
        <v/>
      </c>
      <c r="O212" s="12">
        <v>31.0</v>
      </c>
      <c r="P212" s="5" t="s">
        <v>45</v>
      </c>
      <c r="Q212" s="5"/>
      <c r="R212" s="5" t="s">
        <v>41</v>
      </c>
      <c r="S212" s="5"/>
      <c r="T212" s="5" t="s">
        <v>42</v>
      </c>
    </row>
    <row r="213">
      <c r="A213" s="25">
        <v>43866.0</v>
      </c>
      <c r="B213" s="28">
        <v>0.5118055555555555</v>
      </c>
      <c r="C213" s="5" t="s">
        <v>151</v>
      </c>
      <c r="D213" s="29">
        <v>43882.0</v>
      </c>
      <c r="E213" s="5">
        <v>16.0</v>
      </c>
      <c r="F213" s="5" t="s">
        <v>38</v>
      </c>
      <c r="G213" s="5">
        <v>15.73</v>
      </c>
      <c r="H213" s="5">
        <v>597.0</v>
      </c>
      <c r="I213" s="5">
        <v>0.5</v>
      </c>
      <c r="J213" s="5" t="s">
        <v>39</v>
      </c>
      <c r="K213" s="5">
        <v>6753.0</v>
      </c>
      <c r="L213" s="5">
        <v>3906.0</v>
      </c>
      <c r="M213" s="30">
        <v>29780.0</v>
      </c>
      <c r="N213" s="15" t="str">
        <f t="array" ref="N213">IFERROR(VLOOKUP(T213,Ref_sheet!$A$1:$B$8,2,FALSE))</f>
        <v/>
      </c>
      <c r="O213" s="12">
        <v>13.0</v>
      </c>
      <c r="P213" s="5" t="s">
        <v>45</v>
      </c>
      <c r="Q213" s="5"/>
      <c r="R213" s="5" t="s">
        <v>41</v>
      </c>
      <c r="S213" s="5"/>
      <c r="T213" s="5" t="s">
        <v>36</v>
      </c>
    </row>
    <row r="214">
      <c r="A214" s="25">
        <v>43866.0</v>
      </c>
      <c r="B214" s="28">
        <v>0.5118055555555555</v>
      </c>
      <c r="C214" s="5" t="s">
        <v>415</v>
      </c>
      <c r="D214" s="29">
        <v>43910.0</v>
      </c>
      <c r="E214" s="5">
        <v>200.0</v>
      </c>
      <c r="F214" s="5" t="s">
        <v>38</v>
      </c>
      <c r="G214" s="5">
        <v>220.51</v>
      </c>
      <c r="H214" s="5">
        <v>331.0</v>
      </c>
      <c r="I214" s="5">
        <v>23.9</v>
      </c>
      <c r="J214" s="5" t="s">
        <v>39</v>
      </c>
      <c r="K214" s="5">
        <v>1415.0</v>
      </c>
      <c r="L214" s="5">
        <v>6135.0</v>
      </c>
      <c r="M214" s="30">
        <v>791090.0</v>
      </c>
      <c r="N214" s="15" t="str">
        <f t="array" ref="N214">IFERROR(VLOOKUP(T214,Ref_sheet!$A$1:$B$8,2,FALSE))</f>
        <v/>
      </c>
      <c r="O214" s="12">
        <v>15.0</v>
      </c>
      <c r="P214" s="5" t="s">
        <v>51</v>
      </c>
      <c r="Q214" s="5"/>
      <c r="R214" s="5" t="s">
        <v>41</v>
      </c>
      <c r="S214" s="5"/>
      <c r="T214" s="5" t="s">
        <v>46</v>
      </c>
    </row>
    <row r="215">
      <c r="A215" s="25">
        <v>43866.0</v>
      </c>
      <c r="B215" s="28">
        <v>0.5111111111111111</v>
      </c>
      <c r="C215" s="5" t="s">
        <v>76</v>
      </c>
      <c r="D215" s="29">
        <v>43868.0</v>
      </c>
      <c r="E215" s="5">
        <v>67.5</v>
      </c>
      <c r="F215" s="5" t="s">
        <v>38</v>
      </c>
      <c r="G215" s="5">
        <v>66.82</v>
      </c>
      <c r="H215" s="5">
        <v>799.0</v>
      </c>
      <c r="I215" s="5">
        <v>0.22</v>
      </c>
      <c r="J215" s="5" t="s">
        <v>39</v>
      </c>
      <c r="K215" s="5">
        <v>1358.0</v>
      </c>
      <c r="L215" s="5">
        <v>943.0</v>
      </c>
      <c r="M215" s="30">
        <v>17213.0</v>
      </c>
      <c r="N215" s="15" t="str">
        <f t="array" ref="N215">IFERROR(VLOOKUP(T215,Ref_sheet!$A$1:$B$8,2,FALSE))</f>
        <v/>
      </c>
      <c r="O215" s="12">
        <v>45.0</v>
      </c>
      <c r="P215" s="5" t="s">
        <v>40</v>
      </c>
      <c r="Q215" s="5"/>
      <c r="R215" s="5" t="s">
        <v>41</v>
      </c>
      <c r="T215" s="5" t="s">
        <v>36</v>
      </c>
    </row>
    <row r="216">
      <c r="A216" s="25">
        <v>43866.0</v>
      </c>
      <c r="B216" s="28">
        <v>0.5097222222222222</v>
      </c>
      <c r="C216" s="5" t="s">
        <v>133</v>
      </c>
      <c r="D216" s="29">
        <v>43875.0</v>
      </c>
      <c r="E216" s="5">
        <v>12.5</v>
      </c>
      <c r="F216" s="5" t="s">
        <v>38</v>
      </c>
      <c r="G216" s="5">
        <v>12.21</v>
      </c>
      <c r="H216" s="5">
        <v>500.0</v>
      </c>
      <c r="I216" s="5">
        <v>0.62</v>
      </c>
      <c r="J216" s="5" t="s">
        <v>39</v>
      </c>
      <c r="K216" s="5">
        <v>1724.0</v>
      </c>
      <c r="L216" s="5">
        <v>3531.0</v>
      </c>
      <c r="M216" s="30">
        <v>31172.0</v>
      </c>
      <c r="N216" s="15" t="str">
        <f t="array" ref="N216">IFERROR(VLOOKUP(T216,Ref_sheet!$A$1:$B$8,2,FALSE))</f>
        <v/>
      </c>
      <c r="O216" s="12">
        <v>19.0</v>
      </c>
      <c r="P216" s="5" t="s">
        <v>53</v>
      </c>
      <c r="Q216" s="5"/>
      <c r="R216" s="5" t="s">
        <v>41</v>
      </c>
      <c r="S216" s="5"/>
      <c r="T216" s="5" t="s">
        <v>46</v>
      </c>
    </row>
    <row r="217">
      <c r="A217" s="25">
        <v>43866.0</v>
      </c>
      <c r="B217" s="28">
        <v>0.5083333333333333</v>
      </c>
      <c r="C217" s="5" t="s">
        <v>412</v>
      </c>
      <c r="D217" s="29">
        <v>43882.0</v>
      </c>
      <c r="E217" s="5">
        <v>108.0</v>
      </c>
      <c r="F217" s="5" t="s">
        <v>38</v>
      </c>
      <c r="G217" s="5">
        <v>108.09</v>
      </c>
      <c r="H217" s="5">
        <v>628.0</v>
      </c>
      <c r="I217" s="5">
        <v>2.65</v>
      </c>
      <c r="J217" s="5" t="s">
        <v>39</v>
      </c>
      <c r="K217" s="5">
        <v>806.0</v>
      </c>
      <c r="L217" s="5">
        <v>262.0</v>
      </c>
      <c r="M217" s="30">
        <v>166410.0</v>
      </c>
      <c r="N217" s="15" t="str">
        <f t="array" ref="N217">IFERROR(VLOOKUP(T217,Ref_sheet!$A$1:$B$8,2,FALSE))</f>
        <v/>
      </c>
      <c r="O217" s="12">
        <v>53.0</v>
      </c>
      <c r="P217" s="5" t="s">
        <v>40</v>
      </c>
      <c r="Q217" s="5"/>
      <c r="R217" s="5" t="s">
        <v>41</v>
      </c>
      <c r="S217" s="5"/>
      <c r="T217" s="5" t="s">
        <v>42</v>
      </c>
    </row>
    <row r="218">
      <c r="A218" s="25">
        <v>43866.0</v>
      </c>
      <c r="B218" s="28">
        <v>0.5083333333333333</v>
      </c>
      <c r="C218" s="5" t="s">
        <v>151</v>
      </c>
      <c r="D218" s="29">
        <v>43910.0</v>
      </c>
      <c r="E218" s="5">
        <v>18.0</v>
      </c>
      <c r="F218" s="5" t="s">
        <v>38</v>
      </c>
      <c r="G218" s="5">
        <v>15.65</v>
      </c>
      <c r="H218" s="5">
        <v>1572.0</v>
      </c>
      <c r="I218" s="5">
        <v>0.25</v>
      </c>
      <c r="J218" s="5" t="s">
        <v>39</v>
      </c>
      <c r="K218" s="5">
        <v>5739.0</v>
      </c>
      <c r="L218" s="5">
        <v>659.0</v>
      </c>
      <c r="M218" s="30">
        <v>39300.0</v>
      </c>
      <c r="N218" s="15" t="str">
        <f t="array" ref="N218">IFERROR(VLOOKUP(T218,Ref_sheet!$A$1:$B$8,2,FALSE))</f>
        <v/>
      </c>
      <c r="O218" s="12">
        <v>33.0</v>
      </c>
      <c r="P218" s="5" t="s">
        <v>45</v>
      </c>
      <c r="Q218" s="5"/>
      <c r="R218" s="5" t="s">
        <v>41</v>
      </c>
      <c r="S218" s="5"/>
      <c r="T218" s="5" t="s">
        <v>42</v>
      </c>
    </row>
    <row r="219">
      <c r="A219" s="25">
        <v>43866.0</v>
      </c>
      <c r="B219" s="28">
        <v>0.5083333333333333</v>
      </c>
      <c r="C219" s="5" t="s">
        <v>151</v>
      </c>
      <c r="D219" s="29">
        <v>43910.0</v>
      </c>
      <c r="E219" s="5">
        <v>18.0</v>
      </c>
      <c r="F219" s="5" t="s">
        <v>38</v>
      </c>
      <c r="G219" s="5">
        <v>15.63</v>
      </c>
      <c r="H219" s="5">
        <v>2022.0</v>
      </c>
      <c r="I219" s="5">
        <v>0.24</v>
      </c>
      <c r="J219" s="5" t="s">
        <v>33</v>
      </c>
      <c r="K219" s="5">
        <v>4167.0</v>
      </c>
      <c r="L219" s="5">
        <v>659.0</v>
      </c>
      <c r="M219" s="30">
        <v>48495.0</v>
      </c>
      <c r="N219" s="15" t="str">
        <f t="array" ref="N219">IFERROR(VLOOKUP(T219,Ref_sheet!$A$1:$B$8,2,FALSE))</f>
        <v/>
      </c>
      <c r="O219" s="12">
        <v>38.0</v>
      </c>
      <c r="P219" s="5" t="s">
        <v>45</v>
      </c>
      <c r="Q219" s="5"/>
      <c r="R219" s="5" t="s">
        <v>41</v>
      </c>
      <c r="S219" s="5"/>
      <c r="T219" s="5" t="s">
        <v>42</v>
      </c>
    </row>
    <row r="220">
      <c r="A220" s="25">
        <v>43866.0</v>
      </c>
      <c r="B220" s="28">
        <v>0.5076388888888889</v>
      </c>
      <c r="C220" s="5" t="s">
        <v>103</v>
      </c>
      <c r="D220" s="29">
        <v>43938.0</v>
      </c>
      <c r="E220" s="5">
        <v>135.0</v>
      </c>
      <c r="F220" s="5" t="s">
        <v>38</v>
      </c>
      <c r="G220" s="5">
        <v>131.24</v>
      </c>
      <c r="H220" s="5">
        <v>399.0</v>
      </c>
      <c r="I220" s="5">
        <v>3.85</v>
      </c>
      <c r="J220" s="5" t="s">
        <v>39</v>
      </c>
      <c r="K220" s="5">
        <v>10437.0</v>
      </c>
      <c r="L220" s="5">
        <v>2458.0</v>
      </c>
      <c r="M220" s="30">
        <v>153575.0</v>
      </c>
      <c r="N220" s="15" t="str">
        <f t="array" ref="N220">IFERROR(VLOOKUP(T220,Ref_sheet!$A$1:$B$8,2,FALSE))</f>
        <v/>
      </c>
      <c r="O220" s="12">
        <v>9.0</v>
      </c>
      <c r="P220" s="5" t="s">
        <v>40</v>
      </c>
      <c r="Q220" s="5"/>
      <c r="R220" s="5" t="s">
        <v>41</v>
      </c>
      <c r="S220" s="5"/>
      <c r="T220" s="5" t="s">
        <v>36</v>
      </c>
    </row>
    <row r="221">
      <c r="A221" s="25">
        <v>43866.0</v>
      </c>
      <c r="B221" s="28">
        <v>0.5076388888888889</v>
      </c>
      <c r="C221" s="5" t="s">
        <v>161</v>
      </c>
      <c r="D221" s="29">
        <v>43868.0</v>
      </c>
      <c r="E221" s="5">
        <v>67.0</v>
      </c>
      <c r="F221" s="5" t="s">
        <v>38</v>
      </c>
      <c r="G221" s="5">
        <v>65.7</v>
      </c>
      <c r="H221" s="5">
        <v>622.0</v>
      </c>
      <c r="I221" s="5">
        <v>0.65</v>
      </c>
      <c r="J221" s="5" t="s">
        <v>39</v>
      </c>
      <c r="K221" s="5">
        <v>1008.0</v>
      </c>
      <c r="L221" s="5">
        <v>2095.0</v>
      </c>
      <c r="M221" s="30">
        <v>40412.0</v>
      </c>
      <c r="N221" s="15" t="str">
        <f t="array" ref="N221">IFERROR(VLOOKUP(T221,Ref_sheet!$A$1:$B$8,2,FALSE))</f>
        <v/>
      </c>
      <c r="O221" s="12">
        <v>32.0</v>
      </c>
      <c r="P221" s="5" t="s">
        <v>53</v>
      </c>
      <c r="Q221" s="5"/>
      <c r="R221" s="5" t="s">
        <v>41</v>
      </c>
      <c r="S221" s="5"/>
      <c r="T221" s="5" t="s">
        <v>46</v>
      </c>
    </row>
    <row r="222">
      <c r="A222" s="25">
        <v>43866.0</v>
      </c>
      <c r="B222" s="28">
        <v>0.50625</v>
      </c>
      <c r="C222" s="5" t="s">
        <v>109</v>
      </c>
      <c r="D222" s="29">
        <v>44029.0</v>
      </c>
      <c r="E222" s="5">
        <v>25.0</v>
      </c>
      <c r="F222" s="5" t="s">
        <v>38</v>
      </c>
      <c r="G222" s="5">
        <v>20.78</v>
      </c>
      <c r="H222" s="5">
        <v>757.0</v>
      </c>
      <c r="I222" s="5">
        <v>0.75</v>
      </c>
      <c r="J222" s="5" t="s">
        <v>39</v>
      </c>
      <c r="K222" s="5">
        <v>757.0</v>
      </c>
      <c r="L222" s="5">
        <v>285.0</v>
      </c>
      <c r="M222" s="30">
        <v>56744.0</v>
      </c>
      <c r="N222" s="15" t="str">
        <f t="array" ref="N222">IFERROR(VLOOKUP(T222,Ref_sheet!$A$1:$B$8,2,FALSE))</f>
        <v/>
      </c>
      <c r="O222" s="12">
        <v>48.0</v>
      </c>
      <c r="P222" s="5" t="s">
        <v>40</v>
      </c>
      <c r="Q222" s="5"/>
      <c r="R222" s="5" t="s">
        <v>41</v>
      </c>
      <c r="S222" s="5"/>
      <c r="T222" s="5" t="s">
        <v>42</v>
      </c>
    </row>
    <row r="223">
      <c r="A223" s="25">
        <v>43866.0</v>
      </c>
      <c r="B223" s="28">
        <v>0.5055555555555555</v>
      </c>
      <c r="C223" s="5" t="s">
        <v>220</v>
      </c>
      <c r="D223" s="29">
        <v>43868.0</v>
      </c>
      <c r="E223" s="5">
        <v>840.0</v>
      </c>
      <c r="F223" s="5" t="s">
        <v>38</v>
      </c>
      <c r="G223" s="5">
        <v>765.48</v>
      </c>
      <c r="H223" s="5">
        <v>199.0</v>
      </c>
      <c r="I223" s="5">
        <v>8.6</v>
      </c>
      <c r="J223" s="5" t="s">
        <v>39</v>
      </c>
      <c r="K223" s="5">
        <v>2771.0</v>
      </c>
      <c r="L223" s="5">
        <v>699.0</v>
      </c>
      <c r="M223" s="30">
        <v>171140.0</v>
      </c>
      <c r="N223" s="15" t="str">
        <f t="array" ref="N223">IFERROR(VLOOKUP(T223,Ref_sheet!$A$1:$B$8,2,FALSE))</f>
        <v/>
      </c>
      <c r="O223" s="12">
        <v>51.0</v>
      </c>
      <c r="P223" s="5" t="s">
        <v>58</v>
      </c>
      <c r="Q223" s="5" t="b">
        <v>1</v>
      </c>
      <c r="R223" s="5" t="s">
        <v>41</v>
      </c>
      <c r="S223" s="5"/>
      <c r="T223" s="5" t="s">
        <v>401</v>
      </c>
    </row>
    <row r="224">
      <c r="A224" s="25">
        <v>43866.0</v>
      </c>
      <c r="B224" s="28">
        <v>0.5055555555555555</v>
      </c>
      <c r="C224" s="5" t="s">
        <v>103</v>
      </c>
      <c r="D224" s="29">
        <v>43938.0</v>
      </c>
      <c r="E224" s="5">
        <v>135.0</v>
      </c>
      <c r="F224" s="5" t="s">
        <v>38</v>
      </c>
      <c r="G224" s="5">
        <v>131.03</v>
      </c>
      <c r="H224" s="5">
        <v>2625.0</v>
      </c>
      <c r="I224" s="5">
        <v>3.81</v>
      </c>
      <c r="J224" s="5" t="s">
        <v>39</v>
      </c>
      <c r="K224" s="5">
        <v>9841.0</v>
      </c>
      <c r="L224" s="5">
        <v>2458.0</v>
      </c>
      <c r="M224" s="30">
        <v>1000548.0</v>
      </c>
      <c r="N224" s="15" t="str">
        <f t="array" ref="N224">IFERROR(VLOOKUP(T224,Ref_sheet!$A$1:$B$8,2,FALSE))</f>
        <v/>
      </c>
      <c r="O224" s="12">
        <v>95.0</v>
      </c>
      <c r="P224" s="5" t="s">
        <v>40</v>
      </c>
      <c r="Q224" s="5"/>
      <c r="R224" s="5" t="s">
        <v>41</v>
      </c>
      <c r="S224" s="5" t="b">
        <v>1</v>
      </c>
      <c r="T224" s="5" t="s">
        <v>42</v>
      </c>
    </row>
    <row r="225">
      <c r="A225" s="25">
        <v>43866.0</v>
      </c>
      <c r="B225" s="28">
        <v>0.5048611111111111</v>
      </c>
      <c r="C225" s="5" t="s">
        <v>416</v>
      </c>
      <c r="D225" s="29">
        <v>43875.0</v>
      </c>
      <c r="E225" s="5">
        <v>63.5</v>
      </c>
      <c r="F225" s="5" t="s">
        <v>38</v>
      </c>
      <c r="G225" s="5">
        <v>63.47</v>
      </c>
      <c r="H225" s="5">
        <v>400.0</v>
      </c>
      <c r="I225" s="5">
        <v>1.96</v>
      </c>
      <c r="J225" s="5" t="s">
        <v>48</v>
      </c>
      <c r="K225" s="5">
        <v>465.0</v>
      </c>
      <c r="L225" s="5">
        <v>213.0</v>
      </c>
      <c r="M225" s="30">
        <v>78400.0</v>
      </c>
      <c r="N225" s="15" t="str">
        <f t="array" ref="N225">IFERROR(VLOOKUP(T225,Ref_sheet!$A$1:$B$8,2,FALSE))</f>
        <v/>
      </c>
      <c r="O225" s="12">
        <v>55.0</v>
      </c>
      <c r="P225" s="5" t="s">
        <v>40</v>
      </c>
      <c r="Q225" s="5"/>
      <c r="R225" s="5" t="s">
        <v>41</v>
      </c>
      <c r="S225" s="5"/>
      <c r="T225" s="5" t="s">
        <v>42</v>
      </c>
    </row>
    <row r="226">
      <c r="A226" s="25">
        <v>43866.0</v>
      </c>
      <c r="B226" s="28">
        <v>0.5055555555555555</v>
      </c>
      <c r="C226" s="5" t="s">
        <v>109</v>
      </c>
      <c r="D226" s="29">
        <v>43938.0</v>
      </c>
      <c r="E226" s="5">
        <v>25.0</v>
      </c>
      <c r="F226" s="5" t="s">
        <v>38</v>
      </c>
      <c r="G226" s="5">
        <v>20.79</v>
      </c>
      <c r="H226" s="5">
        <v>3000.0</v>
      </c>
      <c r="I226" s="5">
        <v>0.25</v>
      </c>
      <c r="J226" s="5" t="s">
        <v>39</v>
      </c>
      <c r="K226" s="5">
        <v>3013.0</v>
      </c>
      <c r="L226" s="5">
        <v>38515.0</v>
      </c>
      <c r="M226" s="30">
        <v>74984.0</v>
      </c>
      <c r="N226" s="15" t="str">
        <f t="array" ref="N226">IFERROR(VLOOKUP(T226,Ref_sheet!$A$1:$B$8,2,FALSE))</f>
        <v/>
      </c>
      <c r="O226" s="12">
        <v>25.0</v>
      </c>
      <c r="P226" s="5" t="s">
        <v>40</v>
      </c>
      <c r="Q226" s="5"/>
      <c r="R226" s="5" t="s">
        <v>41</v>
      </c>
      <c r="S226" s="5"/>
      <c r="T226" s="5" t="s">
        <v>46</v>
      </c>
    </row>
    <row r="227">
      <c r="A227" s="25">
        <v>43866.0</v>
      </c>
      <c r="B227" s="28">
        <v>0.5048611111111111</v>
      </c>
      <c r="C227" s="5" t="s">
        <v>62</v>
      </c>
      <c r="D227" s="29">
        <v>43938.0</v>
      </c>
      <c r="E227" s="5">
        <v>180.0</v>
      </c>
      <c r="F227" s="5" t="s">
        <v>38</v>
      </c>
      <c r="G227" s="5">
        <v>179.72</v>
      </c>
      <c r="H227" s="5">
        <v>1255.0</v>
      </c>
      <c r="I227" s="5">
        <v>7.05</v>
      </c>
      <c r="J227" s="5" t="s">
        <v>39</v>
      </c>
      <c r="K227" s="5">
        <v>3760.0</v>
      </c>
      <c r="L227" s="5">
        <v>12076.0</v>
      </c>
      <c r="M227" s="30">
        <v>884775.0</v>
      </c>
      <c r="N227" s="15" t="str">
        <f t="array" ref="N227">IFERROR(VLOOKUP(T227,Ref_sheet!$A$1:$B$8,2,FALSE))</f>
        <v/>
      </c>
      <c r="O227" s="12">
        <v>14.0</v>
      </c>
      <c r="P227" s="5" t="s">
        <v>40</v>
      </c>
      <c r="Q227" s="5"/>
      <c r="R227" s="5" t="s">
        <v>41</v>
      </c>
      <c r="S227" s="5"/>
      <c r="T227" s="5" t="s">
        <v>46</v>
      </c>
    </row>
    <row r="228">
      <c r="A228" s="25">
        <v>43866.0</v>
      </c>
      <c r="B228" s="28">
        <v>0.5041666666666667</v>
      </c>
      <c r="C228" s="5" t="s">
        <v>31</v>
      </c>
      <c r="D228" s="29">
        <v>43871.0</v>
      </c>
      <c r="E228" s="5">
        <v>334.0</v>
      </c>
      <c r="F228" s="5" t="s">
        <v>38</v>
      </c>
      <c r="G228" s="5">
        <v>332.07</v>
      </c>
      <c r="H228" s="5">
        <v>2228.0</v>
      </c>
      <c r="I228" s="5">
        <v>0.84</v>
      </c>
      <c r="J228" s="5" t="s">
        <v>39</v>
      </c>
      <c r="K228" s="5">
        <v>4622.0</v>
      </c>
      <c r="L228" s="5">
        <v>1338.0</v>
      </c>
      <c r="M228" s="30">
        <v>187152.0</v>
      </c>
      <c r="N228" s="15" t="str">
        <f t="array" ref="N228">IFERROR(VLOOKUP(T228,Ref_sheet!$A$1:$B$8,2,FALSE))</f>
        <v/>
      </c>
      <c r="O228" s="12">
        <v>52.0</v>
      </c>
      <c r="P228" s="5" t="s">
        <v>34</v>
      </c>
      <c r="Q228" s="5"/>
      <c r="R228" s="5" t="s">
        <v>41</v>
      </c>
      <c r="S228" s="5"/>
      <c r="T228" s="5" t="s">
        <v>42</v>
      </c>
    </row>
    <row r="229">
      <c r="A229" s="25">
        <v>43866.0</v>
      </c>
      <c r="B229" s="28">
        <v>0.5041666666666667</v>
      </c>
      <c r="C229" s="5" t="s">
        <v>161</v>
      </c>
      <c r="D229" s="29">
        <v>43868.0</v>
      </c>
      <c r="E229" s="5">
        <v>68.0</v>
      </c>
      <c r="F229" s="5" t="s">
        <v>38</v>
      </c>
      <c r="G229" s="5">
        <v>65.69</v>
      </c>
      <c r="H229" s="5">
        <v>924.0</v>
      </c>
      <c r="I229" s="5">
        <v>0.34</v>
      </c>
      <c r="J229" s="5" t="s">
        <v>39</v>
      </c>
      <c r="K229" s="5">
        <v>1114.0</v>
      </c>
      <c r="L229" s="5">
        <v>1185.0</v>
      </c>
      <c r="M229" s="30">
        <v>31313.0</v>
      </c>
      <c r="N229" s="15" t="str">
        <f t="array" ref="N229">IFERROR(VLOOKUP(T229,Ref_sheet!$A$1:$B$8,2,FALSE))</f>
        <v/>
      </c>
      <c r="O229" s="12">
        <v>49.0</v>
      </c>
      <c r="P229" s="5" t="s">
        <v>53</v>
      </c>
      <c r="Q229" s="5"/>
      <c r="R229" s="5" t="s">
        <v>41</v>
      </c>
      <c r="S229" s="5"/>
      <c r="T229" s="5" t="s">
        <v>46</v>
      </c>
    </row>
    <row r="230">
      <c r="A230" s="25">
        <v>43866.0</v>
      </c>
      <c r="B230" s="28">
        <v>0.5034722222222222</v>
      </c>
      <c r="C230" s="5" t="s">
        <v>50</v>
      </c>
      <c r="D230" s="29">
        <v>43868.0</v>
      </c>
      <c r="E230" s="5">
        <v>37.0</v>
      </c>
      <c r="F230" s="5" t="s">
        <v>38</v>
      </c>
      <c r="G230" s="5">
        <v>36.31</v>
      </c>
      <c r="H230" s="5">
        <v>1048.0</v>
      </c>
      <c r="I230" s="5">
        <v>1.54</v>
      </c>
      <c r="J230" s="5" t="s">
        <v>39</v>
      </c>
      <c r="K230" s="5">
        <v>4166.0</v>
      </c>
      <c r="L230" s="5">
        <v>3449.0</v>
      </c>
      <c r="M230" s="30">
        <v>161125.0</v>
      </c>
      <c r="N230" s="15" t="str">
        <f t="array" ref="N230">IFERROR(VLOOKUP(T230,Ref_sheet!$A$1:$B$8,2,FALSE))</f>
        <v/>
      </c>
      <c r="O230" s="12">
        <v>30.0</v>
      </c>
      <c r="P230" s="5" t="s">
        <v>51</v>
      </c>
      <c r="Q230" s="5"/>
      <c r="R230" s="5" t="s">
        <v>41</v>
      </c>
      <c r="S230" s="5"/>
      <c r="T230" s="5" t="s">
        <v>36</v>
      </c>
    </row>
    <row r="231">
      <c r="A231" s="25">
        <v>43866.0</v>
      </c>
      <c r="B231" s="28">
        <v>0.5027777777777778</v>
      </c>
      <c r="C231" s="5" t="s">
        <v>417</v>
      </c>
      <c r="D231" s="29">
        <v>43882.0</v>
      </c>
      <c r="E231" s="5">
        <v>25.0</v>
      </c>
      <c r="F231" s="5" t="s">
        <v>32</v>
      </c>
      <c r="G231" s="5">
        <v>25.4</v>
      </c>
      <c r="H231" s="5">
        <v>805.0</v>
      </c>
      <c r="I231" s="5">
        <v>0.5</v>
      </c>
      <c r="J231" s="5" t="s">
        <v>48</v>
      </c>
      <c r="K231" s="5">
        <v>1004.0</v>
      </c>
      <c r="L231" s="5">
        <v>71.0</v>
      </c>
      <c r="M231" s="30">
        <v>40250.0</v>
      </c>
      <c r="N231" s="15" t="str">
        <f t="array" ref="N231">IFERROR(VLOOKUP(T231,Ref_sheet!$A$1:$B$8,2,FALSE))</f>
        <v/>
      </c>
      <c r="O231" s="12">
        <v>49.0</v>
      </c>
      <c r="P231" s="5" t="s">
        <v>162</v>
      </c>
      <c r="Q231" s="5"/>
      <c r="R231" s="5" t="s">
        <v>35</v>
      </c>
      <c r="S231" s="5"/>
      <c r="T231" s="5" t="s">
        <v>42</v>
      </c>
    </row>
    <row r="232">
      <c r="A232" s="25">
        <v>43866.0</v>
      </c>
      <c r="B232" s="28">
        <v>0.5027777777777778</v>
      </c>
      <c r="C232" s="5" t="s">
        <v>329</v>
      </c>
      <c r="D232" s="29">
        <v>43882.0</v>
      </c>
      <c r="E232" s="5">
        <v>30.0</v>
      </c>
      <c r="F232" s="5" t="s">
        <v>38</v>
      </c>
      <c r="G232" s="5">
        <v>29.11</v>
      </c>
      <c r="H232" s="5">
        <v>560.0</v>
      </c>
      <c r="I232" s="5">
        <v>0.53</v>
      </c>
      <c r="J232" s="5" t="s">
        <v>39</v>
      </c>
      <c r="K232" s="5">
        <v>2356.0</v>
      </c>
      <c r="L232" s="5">
        <v>22766.0</v>
      </c>
      <c r="M232" s="30">
        <v>29680.0</v>
      </c>
      <c r="N232" s="15" t="str">
        <f t="array" ref="N232">IFERROR(VLOOKUP(T232,Ref_sheet!$A$1:$B$8,2,FALSE))</f>
        <v/>
      </c>
      <c r="O232" s="12">
        <v>13.0</v>
      </c>
      <c r="P232" s="5" t="s">
        <v>51</v>
      </c>
      <c r="Q232" s="5"/>
      <c r="R232" s="5" t="s">
        <v>41</v>
      </c>
      <c r="S232" s="5"/>
      <c r="T232" s="5" t="s">
        <v>46</v>
      </c>
    </row>
    <row r="233">
      <c r="A233" s="25">
        <v>43866.0</v>
      </c>
      <c r="B233" s="28">
        <v>0.5027777777777778</v>
      </c>
      <c r="C233" s="5" t="s">
        <v>332</v>
      </c>
      <c r="D233" s="29">
        <v>43910.0</v>
      </c>
      <c r="E233" s="5">
        <v>72.5</v>
      </c>
      <c r="F233" s="5" t="s">
        <v>38</v>
      </c>
      <c r="G233" s="5">
        <v>71.0</v>
      </c>
      <c r="H233" s="5">
        <v>500.0</v>
      </c>
      <c r="I233" s="5">
        <v>1.6</v>
      </c>
      <c r="J233" s="5" t="s">
        <v>39</v>
      </c>
      <c r="K233" s="5">
        <v>503.0</v>
      </c>
      <c r="L233" s="5">
        <v>65.0</v>
      </c>
      <c r="M233" s="30">
        <v>80000.0</v>
      </c>
      <c r="N233" s="15" t="str">
        <f t="array" ref="N233">IFERROR(VLOOKUP(T233,Ref_sheet!$A$1:$B$8,2,FALSE))</f>
        <v/>
      </c>
      <c r="O233" s="12">
        <v>50.0</v>
      </c>
      <c r="P233" s="5" t="s">
        <v>58</v>
      </c>
      <c r="Q233" s="5"/>
      <c r="R233" s="5" t="s">
        <v>41</v>
      </c>
      <c r="T233" s="5" t="s">
        <v>42</v>
      </c>
    </row>
    <row r="234">
      <c r="A234" s="25">
        <v>43866.0</v>
      </c>
      <c r="B234" s="28">
        <v>0.5020833333333333</v>
      </c>
      <c r="C234" s="5" t="s">
        <v>31</v>
      </c>
      <c r="D234" s="29">
        <v>43871.0</v>
      </c>
      <c r="E234" s="5">
        <v>332.0</v>
      </c>
      <c r="F234" s="5" t="s">
        <v>38</v>
      </c>
      <c r="G234" s="5">
        <v>331.99</v>
      </c>
      <c r="H234" s="5">
        <v>1010.0</v>
      </c>
      <c r="I234" s="5">
        <v>1.77</v>
      </c>
      <c r="J234" s="5" t="s">
        <v>33</v>
      </c>
      <c r="K234" s="5">
        <v>6285.0</v>
      </c>
      <c r="L234" s="5">
        <v>4714.0</v>
      </c>
      <c r="M234" s="30">
        <v>178770.0</v>
      </c>
      <c r="N234" s="15" t="str">
        <f t="array" ref="N234">IFERROR(VLOOKUP(T234,Ref_sheet!$A$1:$B$8,2,FALSE))</f>
        <v/>
      </c>
      <c r="O234" s="12">
        <v>26.0</v>
      </c>
      <c r="P234" s="5" t="s">
        <v>34</v>
      </c>
      <c r="Q234" s="5"/>
      <c r="R234" s="5" t="s">
        <v>41</v>
      </c>
      <c r="S234" s="5"/>
      <c r="T234" s="5" t="s">
        <v>36</v>
      </c>
    </row>
    <row r="235">
      <c r="A235" s="25">
        <v>43866.0</v>
      </c>
      <c r="B235" s="28">
        <v>0.5013888888888889</v>
      </c>
      <c r="C235" s="5" t="s">
        <v>103</v>
      </c>
      <c r="D235" s="29">
        <v>43938.0</v>
      </c>
      <c r="E235" s="5">
        <v>130.0</v>
      </c>
      <c r="F235" s="5" t="s">
        <v>38</v>
      </c>
      <c r="G235" s="5">
        <v>130.95</v>
      </c>
      <c r="H235" s="5">
        <v>532.0</v>
      </c>
      <c r="I235" s="5">
        <v>6.2</v>
      </c>
      <c r="J235" s="5" t="s">
        <v>39</v>
      </c>
      <c r="K235" s="5">
        <v>570.0</v>
      </c>
      <c r="L235" s="5">
        <v>1812.0</v>
      </c>
      <c r="M235" s="30">
        <v>329773.0</v>
      </c>
      <c r="N235" s="15" t="str">
        <f t="array" ref="N235">IFERROR(VLOOKUP(T235,Ref_sheet!$A$1:$B$8,2,FALSE))</f>
        <v/>
      </c>
      <c r="O235" s="12">
        <v>31.0</v>
      </c>
      <c r="P235" s="5" t="s">
        <v>40</v>
      </c>
      <c r="Q235" s="5"/>
      <c r="R235" s="5" t="s">
        <v>41</v>
      </c>
      <c r="S235" s="5"/>
      <c r="T235" s="5" t="s">
        <v>46</v>
      </c>
    </row>
    <row r="236">
      <c r="A236" s="25">
        <v>43866.0</v>
      </c>
      <c r="B236" s="28">
        <v>0.5006944444444444</v>
      </c>
      <c r="C236" s="5" t="s">
        <v>56</v>
      </c>
      <c r="D236" s="29">
        <v>43868.0</v>
      </c>
      <c r="E236" s="5">
        <v>55.0</v>
      </c>
      <c r="F236" s="5" t="s">
        <v>38</v>
      </c>
      <c r="G236" s="5">
        <v>54.84</v>
      </c>
      <c r="H236" s="5">
        <v>1983.0</v>
      </c>
      <c r="I236" s="5">
        <v>0.37</v>
      </c>
      <c r="J236" s="5" t="s">
        <v>39</v>
      </c>
      <c r="K236" s="5">
        <v>2630.0</v>
      </c>
      <c r="L236" s="5">
        <v>680.0</v>
      </c>
      <c r="M236" s="30">
        <v>73371.0</v>
      </c>
      <c r="N236" s="15" t="str">
        <f t="array" ref="N236">IFERROR(VLOOKUP(T236,Ref_sheet!$A$1:$B$8,2,FALSE))</f>
        <v/>
      </c>
      <c r="O236" s="12">
        <v>55.0</v>
      </c>
      <c r="P236" s="5" t="s">
        <v>34</v>
      </c>
      <c r="Q236" s="5"/>
      <c r="R236" s="5" t="s">
        <v>41</v>
      </c>
      <c r="S236" s="5"/>
      <c r="T236" s="5" t="s">
        <v>42</v>
      </c>
    </row>
    <row r="237">
      <c r="A237" s="25">
        <v>43866.0</v>
      </c>
      <c r="B237" s="28">
        <v>0.5006944444444444</v>
      </c>
      <c r="C237" s="5" t="s">
        <v>417</v>
      </c>
      <c r="D237" s="29">
        <v>43910.0</v>
      </c>
      <c r="E237" s="5">
        <v>25.0</v>
      </c>
      <c r="F237" s="5" t="s">
        <v>32</v>
      </c>
      <c r="G237" s="5">
        <v>25.37</v>
      </c>
      <c r="H237" s="5">
        <v>608.0</v>
      </c>
      <c r="I237" s="5">
        <v>0.94</v>
      </c>
      <c r="J237" s="5" t="s">
        <v>39</v>
      </c>
      <c r="K237" s="5">
        <v>608.0</v>
      </c>
      <c r="L237" s="5">
        <v>56.0</v>
      </c>
      <c r="M237" s="30">
        <v>57247.0</v>
      </c>
      <c r="N237" s="15" t="str">
        <f t="array" ref="N237">IFERROR(VLOOKUP(T237,Ref_sheet!$A$1:$B$8,2,FALSE))</f>
        <v/>
      </c>
      <c r="O237" s="12">
        <v>50.0</v>
      </c>
      <c r="P237" s="5" t="s">
        <v>162</v>
      </c>
      <c r="Q237" s="5"/>
      <c r="R237" s="5" t="s">
        <v>35</v>
      </c>
      <c r="S237" s="5"/>
      <c r="T237" s="5" t="s">
        <v>42</v>
      </c>
    </row>
    <row r="238">
      <c r="A238" s="25">
        <v>43866.0</v>
      </c>
      <c r="B238" s="28">
        <v>0.49930555555555556</v>
      </c>
      <c r="C238" s="5" t="s">
        <v>180</v>
      </c>
      <c r="D238" s="29">
        <v>44211.0</v>
      </c>
      <c r="E238" s="5">
        <v>30.0</v>
      </c>
      <c r="F238" s="5" t="s">
        <v>38</v>
      </c>
      <c r="G238" s="5">
        <v>18.94</v>
      </c>
      <c r="H238" s="5">
        <v>141.0</v>
      </c>
      <c r="I238" s="5">
        <v>2.55</v>
      </c>
      <c r="J238" s="5" t="s">
        <v>39</v>
      </c>
      <c r="K238" s="5">
        <v>6058.0</v>
      </c>
      <c r="L238" s="5">
        <v>2763.0</v>
      </c>
      <c r="M238" s="30">
        <v>35954.0</v>
      </c>
      <c r="N238" s="15" t="str">
        <f t="array" ref="N238">IFERROR(VLOOKUP(T238,Ref_sheet!$A$1:$B$8,2,FALSE))</f>
        <v/>
      </c>
      <c r="O238" s="12">
        <v>4.0</v>
      </c>
      <c r="P238" s="5" t="s">
        <v>182</v>
      </c>
      <c r="Q238" s="5"/>
      <c r="R238" s="5" t="s">
        <v>41</v>
      </c>
      <c r="S238" s="5"/>
      <c r="T238" s="5" t="s">
        <v>36</v>
      </c>
    </row>
    <row r="239">
      <c r="A239" s="25">
        <v>43866.0</v>
      </c>
      <c r="B239" s="28">
        <v>0.4986111111111111</v>
      </c>
      <c r="C239" s="5" t="s">
        <v>31</v>
      </c>
      <c r="D239" s="29">
        <v>43873.0</v>
      </c>
      <c r="E239" s="5">
        <v>331.0</v>
      </c>
      <c r="F239" s="5" t="s">
        <v>38</v>
      </c>
      <c r="G239" s="5">
        <v>331.94</v>
      </c>
      <c r="H239" s="5">
        <v>1250.0</v>
      </c>
      <c r="I239" s="5">
        <v>2.91</v>
      </c>
      <c r="J239" s="5" t="s">
        <v>33</v>
      </c>
      <c r="K239" s="5">
        <v>2948.0</v>
      </c>
      <c r="L239" s="5">
        <v>1337.0</v>
      </c>
      <c r="M239" s="30">
        <v>363750.0</v>
      </c>
      <c r="N239" s="15" t="str">
        <f t="array" ref="N239">IFERROR(VLOOKUP(T239,Ref_sheet!$A$1:$B$8,2,FALSE))</f>
        <v/>
      </c>
      <c r="O239" s="12">
        <v>52.0</v>
      </c>
      <c r="P239" s="5" t="s">
        <v>34</v>
      </c>
      <c r="Q239" s="5"/>
      <c r="R239" s="5" t="s">
        <v>41</v>
      </c>
      <c r="S239" s="5"/>
      <c r="T239" s="5" t="s">
        <v>36</v>
      </c>
    </row>
    <row r="240">
      <c r="A240" s="25">
        <v>43866.0</v>
      </c>
      <c r="B240" s="28">
        <v>0.49583333333333335</v>
      </c>
      <c r="C240" s="5" t="s">
        <v>62</v>
      </c>
      <c r="D240" s="29">
        <v>43868.0</v>
      </c>
      <c r="E240" s="5">
        <v>182.5</v>
      </c>
      <c r="F240" s="5" t="s">
        <v>38</v>
      </c>
      <c r="G240" s="5">
        <v>178.7</v>
      </c>
      <c r="H240" s="5">
        <v>600.0</v>
      </c>
      <c r="I240" s="5">
        <v>0.41</v>
      </c>
      <c r="J240" s="5" t="s">
        <v>33</v>
      </c>
      <c r="K240" s="5">
        <v>16479.0</v>
      </c>
      <c r="L240" s="5">
        <v>6502.0</v>
      </c>
      <c r="M240" s="30">
        <v>24600.0</v>
      </c>
      <c r="N240" s="15" t="str">
        <f t="array" ref="N240">IFERROR(VLOOKUP(T240,Ref_sheet!$A$1:$B$8,2,FALSE))</f>
        <v/>
      </c>
      <c r="O240" s="12">
        <v>16.0</v>
      </c>
      <c r="P240" s="5" t="s">
        <v>40</v>
      </c>
      <c r="Q240" s="5"/>
      <c r="R240" s="5" t="s">
        <v>41</v>
      </c>
      <c r="S240" s="5"/>
      <c r="T240" s="5" t="s">
        <v>36</v>
      </c>
    </row>
    <row r="241">
      <c r="A241" s="25">
        <v>43866.0</v>
      </c>
      <c r="B241" s="28">
        <v>0.49375</v>
      </c>
      <c r="C241" s="5" t="s">
        <v>266</v>
      </c>
      <c r="D241" s="29">
        <v>43938.0</v>
      </c>
      <c r="E241" s="5">
        <v>41.0</v>
      </c>
      <c r="F241" s="5" t="s">
        <v>38</v>
      </c>
      <c r="G241" s="5">
        <v>38.45</v>
      </c>
      <c r="H241" s="5">
        <v>757.0</v>
      </c>
      <c r="I241" s="5">
        <v>0.34</v>
      </c>
      <c r="J241" s="5" t="s">
        <v>39</v>
      </c>
      <c r="K241" s="5">
        <v>1583.0</v>
      </c>
      <c r="L241" s="5">
        <v>1082.0</v>
      </c>
      <c r="M241" s="30">
        <v>25738.0</v>
      </c>
      <c r="N241" s="15" t="str">
        <f t="array" ref="N241">IFERROR(VLOOKUP(T241,Ref_sheet!$A$1:$B$8,2,FALSE))</f>
        <v/>
      </c>
      <c r="O241" s="12">
        <v>29.0</v>
      </c>
      <c r="P241" s="5" t="s">
        <v>53</v>
      </c>
      <c r="Q241" s="5"/>
      <c r="R241" s="5" t="s">
        <v>41</v>
      </c>
      <c r="T241" s="5" t="s">
        <v>36</v>
      </c>
    </row>
    <row r="242">
      <c r="A242" s="25">
        <v>43866.0</v>
      </c>
      <c r="B242" s="28">
        <v>0.4930555555555556</v>
      </c>
      <c r="C242" s="5" t="s">
        <v>103</v>
      </c>
      <c r="D242" s="29">
        <v>43938.0</v>
      </c>
      <c r="E242" s="5">
        <v>135.0</v>
      </c>
      <c r="F242" s="5" t="s">
        <v>38</v>
      </c>
      <c r="G242" s="5">
        <v>130.76</v>
      </c>
      <c r="H242" s="5">
        <v>113.0</v>
      </c>
      <c r="I242" s="5">
        <v>3.6</v>
      </c>
      <c r="J242" s="5" t="s">
        <v>48</v>
      </c>
      <c r="K242" s="5">
        <v>7036.0</v>
      </c>
      <c r="L242" s="5">
        <v>2458.0</v>
      </c>
      <c r="M242" s="30">
        <v>40680.0</v>
      </c>
      <c r="N242" s="15" t="str">
        <f t="array" ref="N242">IFERROR(VLOOKUP(T242,Ref_sheet!$A$1:$B$8,2,FALSE))</f>
        <v/>
      </c>
      <c r="O242" s="12">
        <v>3.0</v>
      </c>
      <c r="P242" s="5" t="s">
        <v>40</v>
      </c>
      <c r="Q242" s="5"/>
      <c r="R242" s="5" t="s">
        <v>41</v>
      </c>
      <c r="T242" s="5" t="s">
        <v>36</v>
      </c>
    </row>
    <row r="243">
      <c r="A243" s="25">
        <v>43866.0</v>
      </c>
      <c r="B243" s="28">
        <v>0.4930555555555556</v>
      </c>
      <c r="C243" s="5" t="s">
        <v>56</v>
      </c>
      <c r="D243" s="29">
        <v>43921.0</v>
      </c>
      <c r="E243" s="5">
        <v>55.0</v>
      </c>
      <c r="F243" s="5" t="s">
        <v>38</v>
      </c>
      <c r="G243" s="5">
        <v>54.76</v>
      </c>
      <c r="H243" s="5">
        <v>525.0</v>
      </c>
      <c r="I243" s="5">
        <v>1.58</v>
      </c>
      <c r="J243" s="5" t="s">
        <v>39</v>
      </c>
      <c r="K243" s="5">
        <v>12316.0</v>
      </c>
      <c r="L243" s="5">
        <v>301.0</v>
      </c>
      <c r="M243" s="30">
        <v>82921.0</v>
      </c>
      <c r="N243" s="15" t="str">
        <f t="array" ref="N243">IFERROR(VLOOKUP(T243,Ref_sheet!$A$1:$B$8,2,FALSE))</f>
        <v/>
      </c>
      <c r="O243" s="12">
        <v>31.0</v>
      </c>
      <c r="P243" s="5" t="s">
        <v>34</v>
      </c>
      <c r="Q243" s="5"/>
      <c r="R243" s="5" t="s">
        <v>41</v>
      </c>
      <c r="S243" s="5"/>
      <c r="T243" s="5" t="s">
        <v>42</v>
      </c>
    </row>
    <row r="244">
      <c r="A244" s="25">
        <v>43866.0</v>
      </c>
      <c r="B244" s="28">
        <v>0.49236111111111114</v>
      </c>
      <c r="C244" s="5" t="s">
        <v>180</v>
      </c>
      <c r="D244" s="29">
        <v>43882.0</v>
      </c>
      <c r="E244" s="5">
        <v>24.0</v>
      </c>
      <c r="F244" s="5" t="s">
        <v>38</v>
      </c>
      <c r="G244" s="5">
        <v>18.91</v>
      </c>
      <c r="H244" s="5">
        <v>500.0</v>
      </c>
      <c r="I244" s="5">
        <v>0.35</v>
      </c>
      <c r="J244" s="5" t="s">
        <v>39</v>
      </c>
      <c r="K244" s="5">
        <v>765.0</v>
      </c>
      <c r="L244" s="5">
        <v>2255.0</v>
      </c>
      <c r="M244" s="30">
        <v>17500.0</v>
      </c>
      <c r="N244" s="15" t="str">
        <f t="array" ref="N244">IFERROR(VLOOKUP(T244,Ref_sheet!$A$1:$B$8,2,FALSE))</f>
        <v/>
      </c>
      <c r="O244" s="12">
        <v>51.0</v>
      </c>
      <c r="P244" s="5" t="s">
        <v>182</v>
      </c>
      <c r="Q244" s="5" t="b">
        <v>1</v>
      </c>
      <c r="R244" s="5" t="s">
        <v>41</v>
      </c>
      <c r="S244" s="5"/>
      <c r="T244" s="5" t="s">
        <v>216</v>
      </c>
    </row>
    <row r="245">
      <c r="A245" s="25">
        <v>43866.0</v>
      </c>
      <c r="B245" s="28">
        <v>0.49166666666666664</v>
      </c>
      <c r="C245" s="5" t="s">
        <v>119</v>
      </c>
      <c r="D245" s="29">
        <v>43875.0</v>
      </c>
      <c r="E245" s="5">
        <v>170.0</v>
      </c>
      <c r="F245" s="5" t="s">
        <v>38</v>
      </c>
      <c r="G245" s="5">
        <v>166.59</v>
      </c>
      <c r="H245" s="5">
        <v>2000.0</v>
      </c>
      <c r="I245" s="5">
        <v>0.35</v>
      </c>
      <c r="J245" s="5" t="s">
        <v>39</v>
      </c>
      <c r="K245" s="5">
        <v>2190.0</v>
      </c>
      <c r="L245" s="5">
        <v>894.0</v>
      </c>
      <c r="M245" s="30">
        <v>70000.0</v>
      </c>
      <c r="N245" s="15" t="str">
        <f t="array" ref="N245">IFERROR(VLOOKUP(T245,Ref_sheet!$A$1:$B$8,2,FALSE))</f>
        <v/>
      </c>
      <c r="O245" s="12">
        <v>56.0</v>
      </c>
      <c r="P245" s="5" t="s">
        <v>34</v>
      </c>
      <c r="Q245" s="5"/>
      <c r="R245" s="5" t="s">
        <v>41</v>
      </c>
      <c r="S245" s="5"/>
      <c r="T245" s="5" t="s">
        <v>42</v>
      </c>
    </row>
    <row r="246">
      <c r="A246" s="25">
        <v>43866.0</v>
      </c>
      <c r="B246" s="28">
        <v>0.49166666666666664</v>
      </c>
      <c r="C246" s="5" t="s">
        <v>328</v>
      </c>
      <c r="D246" s="29">
        <v>43868.0</v>
      </c>
      <c r="E246" s="5">
        <v>325.0</v>
      </c>
      <c r="F246" s="5" t="s">
        <v>38</v>
      </c>
      <c r="G246" s="5">
        <v>323.92</v>
      </c>
      <c r="H246" s="5">
        <v>100.0</v>
      </c>
      <c r="I246" s="5">
        <v>2.67</v>
      </c>
      <c r="J246" s="5" t="s">
        <v>48</v>
      </c>
      <c r="K246" s="5">
        <v>3996.0</v>
      </c>
      <c r="L246" s="5">
        <v>2356.0</v>
      </c>
      <c r="M246" s="30">
        <v>26680.0</v>
      </c>
      <c r="N246" s="15" t="str">
        <f t="array" ref="N246">IFERROR(VLOOKUP(T246,Ref_sheet!$A$1:$B$8,2,FALSE))</f>
        <v/>
      </c>
      <c r="O246" s="12">
        <v>14.0</v>
      </c>
      <c r="P246" s="5" t="s">
        <v>182</v>
      </c>
      <c r="Q246" s="5"/>
      <c r="R246" s="5" t="s">
        <v>41</v>
      </c>
      <c r="S246" s="5"/>
      <c r="T246" s="5" t="s">
        <v>36</v>
      </c>
    </row>
    <row r="247">
      <c r="A247" s="25">
        <v>43866.0</v>
      </c>
      <c r="B247" s="28">
        <v>0.4909722222222222</v>
      </c>
      <c r="C247" s="5" t="s">
        <v>362</v>
      </c>
      <c r="D247" s="29">
        <v>43910.0</v>
      </c>
      <c r="E247" s="5">
        <v>45.0</v>
      </c>
      <c r="F247" s="5" t="s">
        <v>32</v>
      </c>
      <c r="G247" s="5">
        <v>48.37</v>
      </c>
      <c r="H247" s="5">
        <v>581.0</v>
      </c>
      <c r="I247" s="5">
        <v>0.57</v>
      </c>
      <c r="J247" s="5" t="s">
        <v>33</v>
      </c>
      <c r="K247" s="5">
        <v>712.0</v>
      </c>
      <c r="L247" s="5">
        <v>30625.0</v>
      </c>
      <c r="M247" s="30">
        <v>33117.0</v>
      </c>
      <c r="N247" s="15" t="str">
        <f t="array" ref="N247">IFERROR(VLOOKUP(T247,Ref_sheet!$A$1:$B$8,2,FALSE))</f>
        <v/>
      </c>
      <c r="O247" s="12">
        <v>20.0</v>
      </c>
      <c r="P247" s="5" t="s">
        <v>40</v>
      </c>
      <c r="Q247" s="5"/>
      <c r="R247" s="5" t="s">
        <v>35</v>
      </c>
      <c r="S247" s="5"/>
      <c r="T247" s="5" t="s">
        <v>46</v>
      </c>
    </row>
    <row r="248">
      <c r="A248" s="25">
        <v>43866.0</v>
      </c>
      <c r="B248" s="28">
        <v>0.49027777777777776</v>
      </c>
      <c r="C248" s="5" t="s">
        <v>329</v>
      </c>
      <c r="D248" s="29">
        <v>43875.0</v>
      </c>
      <c r="E248" s="5">
        <v>28.5</v>
      </c>
      <c r="F248" s="5" t="s">
        <v>38</v>
      </c>
      <c r="G248" s="5">
        <v>29.14</v>
      </c>
      <c r="H248" s="5">
        <v>1530.0</v>
      </c>
      <c r="I248" s="5">
        <v>1.1</v>
      </c>
      <c r="J248" s="5" t="s">
        <v>39</v>
      </c>
      <c r="K248" s="5">
        <v>7957.0</v>
      </c>
      <c r="L248" s="5">
        <v>1630.0</v>
      </c>
      <c r="M248" s="30">
        <v>168300.0</v>
      </c>
      <c r="N248" s="15" t="str">
        <f t="array" ref="N248">IFERROR(VLOOKUP(T248,Ref_sheet!$A$1:$B$8,2,FALSE))</f>
        <v/>
      </c>
      <c r="O248" s="12">
        <v>42.0</v>
      </c>
      <c r="P248" s="5" t="s">
        <v>51</v>
      </c>
      <c r="Q248" s="5"/>
      <c r="R248" s="5" t="s">
        <v>41</v>
      </c>
      <c r="S248" s="5"/>
      <c r="T248" s="5" t="s">
        <v>36</v>
      </c>
    </row>
    <row r="249">
      <c r="A249" s="25">
        <v>43866.0</v>
      </c>
      <c r="B249" s="28">
        <v>0.4895833333333333</v>
      </c>
      <c r="C249" s="5" t="s">
        <v>418</v>
      </c>
      <c r="D249" s="29">
        <v>43868.0</v>
      </c>
      <c r="E249" s="5">
        <v>487.5</v>
      </c>
      <c r="F249" s="5" t="s">
        <v>38</v>
      </c>
      <c r="G249" s="5">
        <v>471.37</v>
      </c>
      <c r="H249" s="5">
        <v>500.0</v>
      </c>
      <c r="I249" s="5">
        <v>2.25</v>
      </c>
      <c r="J249" s="5" t="s">
        <v>48</v>
      </c>
      <c r="K249" s="5">
        <v>1125.0</v>
      </c>
      <c r="L249" s="5">
        <v>1174.0</v>
      </c>
      <c r="M249" s="30">
        <v>112500.0</v>
      </c>
      <c r="N249" s="15" t="str">
        <f t="array" ref="N249">IFERROR(VLOOKUP(T249,Ref_sheet!$A$1:$B$8,2,FALSE))</f>
        <v/>
      </c>
      <c r="O249" s="12">
        <v>37.0</v>
      </c>
      <c r="P249" s="5" t="s">
        <v>40</v>
      </c>
      <c r="Q249" s="5"/>
      <c r="R249" s="5" t="s">
        <v>41</v>
      </c>
      <c r="S249" s="5"/>
      <c r="T249" s="5" t="s">
        <v>46</v>
      </c>
    </row>
    <row r="250">
      <c r="A250" s="25">
        <v>43866.0</v>
      </c>
      <c r="B250" s="28">
        <v>0.4895833333333333</v>
      </c>
      <c r="C250" s="5" t="s">
        <v>60</v>
      </c>
      <c r="D250" s="29">
        <v>43868.0</v>
      </c>
      <c r="E250" s="5">
        <v>2050.0</v>
      </c>
      <c r="F250" s="5" t="s">
        <v>38</v>
      </c>
      <c r="G250" s="5">
        <v>2039.11</v>
      </c>
      <c r="H250" s="5">
        <v>253.0</v>
      </c>
      <c r="I250" s="5">
        <v>11.89</v>
      </c>
      <c r="J250" s="5" t="s">
        <v>39</v>
      </c>
      <c r="K250" s="5">
        <v>3303.0</v>
      </c>
      <c r="L250" s="5">
        <v>1581.0</v>
      </c>
      <c r="M250" s="30">
        <v>300801.0</v>
      </c>
      <c r="N250" s="15" t="str">
        <f t="array" ref="N250">IFERROR(VLOOKUP(T250,Ref_sheet!$A$1:$B$8,2,FALSE))</f>
        <v/>
      </c>
      <c r="O250" s="12">
        <v>26.0</v>
      </c>
      <c r="P250" s="5" t="s">
        <v>51</v>
      </c>
      <c r="Q250" s="5"/>
      <c r="R250" s="5" t="s">
        <v>41</v>
      </c>
      <c r="S250" s="5"/>
      <c r="T250" s="5" t="s">
        <v>36</v>
      </c>
    </row>
    <row r="251">
      <c r="A251" s="25">
        <v>43866.0</v>
      </c>
      <c r="B251" s="28">
        <v>0.4888888888888889</v>
      </c>
      <c r="C251" s="5" t="s">
        <v>328</v>
      </c>
      <c r="D251" s="29">
        <v>43910.0</v>
      </c>
      <c r="E251" s="5">
        <v>320.0</v>
      </c>
      <c r="F251" s="5" t="s">
        <v>38</v>
      </c>
      <c r="G251" s="5">
        <v>323.23</v>
      </c>
      <c r="H251" s="5">
        <v>400.0</v>
      </c>
      <c r="I251" s="5">
        <v>13.0</v>
      </c>
      <c r="J251" s="5" t="s">
        <v>39</v>
      </c>
      <c r="K251" s="5">
        <v>912.0</v>
      </c>
      <c r="L251" s="5">
        <v>1771.0</v>
      </c>
      <c r="M251" s="30">
        <v>519995.0</v>
      </c>
      <c r="N251" s="15" t="str">
        <f t="array" ref="N251">IFERROR(VLOOKUP(T251,Ref_sheet!$A$1:$B$8,2,FALSE))</f>
        <v/>
      </c>
      <c r="O251" s="12">
        <v>23.0</v>
      </c>
      <c r="P251" s="5" t="s">
        <v>182</v>
      </c>
      <c r="Q251" s="5"/>
      <c r="R251" s="5" t="s">
        <v>41</v>
      </c>
      <c r="S251" s="5"/>
      <c r="T251" s="5" t="s">
        <v>46</v>
      </c>
    </row>
    <row r="252">
      <c r="A252" s="25">
        <v>43866.0</v>
      </c>
      <c r="B252" s="28">
        <v>0.4888888888888889</v>
      </c>
      <c r="C252" s="5" t="s">
        <v>328</v>
      </c>
      <c r="D252" s="29">
        <v>43910.0</v>
      </c>
      <c r="E252" s="5">
        <v>320.0</v>
      </c>
      <c r="F252" s="5" t="s">
        <v>38</v>
      </c>
      <c r="G252" s="5">
        <v>322.8</v>
      </c>
      <c r="H252" s="5">
        <v>298.0</v>
      </c>
      <c r="I252" s="5">
        <v>12.9</v>
      </c>
      <c r="J252" s="5" t="s">
        <v>39</v>
      </c>
      <c r="K252" s="5">
        <v>511.0</v>
      </c>
      <c r="L252" s="5">
        <v>1771.0</v>
      </c>
      <c r="M252" s="30">
        <v>384420.0</v>
      </c>
      <c r="N252" s="15" t="str">
        <f t="array" ref="N252">IFERROR(VLOOKUP(T252,Ref_sheet!$A$1:$B$8,2,FALSE))</f>
        <v/>
      </c>
      <c r="O252" s="12">
        <v>25.0</v>
      </c>
      <c r="P252" s="5" t="s">
        <v>182</v>
      </c>
      <c r="Q252" s="5"/>
      <c r="R252" s="5" t="s">
        <v>41</v>
      </c>
      <c r="S252" s="5"/>
      <c r="T252" s="5" t="s">
        <v>46</v>
      </c>
    </row>
    <row r="253">
      <c r="A253" s="25">
        <v>43866.0</v>
      </c>
      <c r="B253" s="28">
        <v>0.48680555555555555</v>
      </c>
      <c r="C253" s="5" t="s">
        <v>37</v>
      </c>
      <c r="D253" s="29">
        <v>43882.0</v>
      </c>
      <c r="E253" s="5">
        <v>20.0</v>
      </c>
      <c r="F253" s="5" t="s">
        <v>32</v>
      </c>
      <c r="G253" s="5">
        <v>21.86</v>
      </c>
      <c r="H253" s="5">
        <v>916.0</v>
      </c>
      <c r="I253" s="5">
        <v>0.8</v>
      </c>
      <c r="J253" s="5" t="s">
        <v>39</v>
      </c>
      <c r="K253" s="5">
        <v>973.0</v>
      </c>
      <c r="L253" s="5">
        <v>4934.0</v>
      </c>
      <c r="M253" s="30">
        <v>73280.0</v>
      </c>
      <c r="N253" s="15" t="str">
        <f t="array" ref="N253">IFERROR(VLOOKUP(T253,Ref_sheet!$A$1:$B$8,2,FALSE))</f>
        <v/>
      </c>
      <c r="O253" s="12">
        <v>33.0</v>
      </c>
      <c r="P253" s="5" t="s">
        <v>40</v>
      </c>
      <c r="Q253" s="5"/>
      <c r="R253" s="5" t="s">
        <v>35</v>
      </c>
      <c r="S253" s="5"/>
      <c r="T253" s="5" t="s">
        <v>46</v>
      </c>
    </row>
    <row r="254">
      <c r="A254" s="25">
        <v>43866.0</v>
      </c>
      <c r="B254" s="28">
        <v>0.4847222222222222</v>
      </c>
      <c r="C254" s="5" t="s">
        <v>320</v>
      </c>
      <c r="D254" s="29">
        <v>43868.0</v>
      </c>
      <c r="E254" s="5">
        <v>127.0</v>
      </c>
      <c r="F254" s="5" t="s">
        <v>32</v>
      </c>
      <c r="G254" s="5">
        <v>128.63</v>
      </c>
      <c r="H254" s="5">
        <v>1129.0</v>
      </c>
      <c r="I254" s="5">
        <v>5.19</v>
      </c>
      <c r="J254" s="5" t="s">
        <v>39</v>
      </c>
      <c r="K254" s="5">
        <v>1168.0</v>
      </c>
      <c r="L254" s="5">
        <v>192.0</v>
      </c>
      <c r="M254" s="30">
        <v>586295.0</v>
      </c>
      <c r="N254" s="15" t="str">
        <f t="array" ref="N254">IFERROR(VLOOKUP(T254,Ref_sheet!$A$1:$B$8,2,FALSE))</f>
        <v/>
      </c>
      <c r="O254" s="12">
        <v>64.0</v>
      </c>
      <c r="P254" s="5" t="s">
        <v>40</v>
      </c>
      <c r="Q254" s="5"/>
      <c r="R254" s="5" t="s">
        <v>35</v>
      </c>
      <c r="S254" s="5"/>
      <c r="T254" s="5" t="s">
        <v>42</v>
      </c>
    </row>
    <row r="255">
      <c r="A255" s="25">
        <v>43866.0</v>
      </c>
      <c r="B255" s="28">
        <v>0.4847222222222222</v>
      </c>
      <c r="C255" s="5" t="s">
        <v>62</v>
      </c>
      <c r="D255" s="29">
        <v>43938.0</v>
      </c>
      <c r="E255" s="5">
        <v>185.0</v>
      </c>
      <c r="F255" s="5" t="s">
        <v>38</v>
      </c>
      <c r="G255" s="5">
        <v>178.88</v>
      </c>
      <c r="H255" s="5">
        <v>2000.0</v>
      </c>
      <c r="I255" s="5">
        <v>4.4</v>
      </c>
      <c r="J255" s="5" t="s">
        <v>33</v>
      </c>
      <c r="K255" s="5">
        <v>15327.0</v>
      </c>
      <c r="L255" s="5">
        <v>8085.0</v>
      </c>
      <c r="M255" s="30">
        <v>880000.0</v>
      </c>
      <c r="N255" s="15" t="str">
        <f t="array" ref="N255">IFERROR(VLOOKUP(T255,Ref_sheet!$A$1:$B$8,2,FALSE))</f>
        <v/>
      </c>
      <c r="O255" s="12">
        <v>14.0</v>
      </c>
      <c r="P255" s="5" t="s">
        <v>40</v>
      </c>
      <c r="Q255" s="5"/>
      <c r="R255" s="5" t="s">
        <v>41</v>
      </c>
      <c r="S255" s="5"/>
      <c r="T255" s="5" t="s">
        <v>36</v>
      </c>
    </row>
    <row r="256">
      <c r="A256" s="25">
        <v>43866.0</v>
      </c>
      <c r="B256" s="28">
        <v>0.4840277777777778</v>
      </c>
      <c r="C256" s="5" t="s">
        <v>133</v>
      </c>
      <c r="D256" s="29">
        <v>43882.0</v>
      </c>
      <c r="E256" s="5">
        <v>13.0</v>
      </c>
      <c r="F256" s="5" t="s">
        <v>38</v>
      </c>
      <c r="G256" s="5">
        <v>12.14</v>
      </c>
      <c r="H256" s="5">
        <v>560.0</v>
      </c>
      <c r="I256" s="5">
        <v>0.47</v>
      </c>
      <c r="J256" s="5" t="s">
        <v>39</v>
      </c>
      <c r="K256" s="5">
        <v>16374.0</v>
      </c>
      <c r="L256" s="5">
        <v>41433.0</v>
      </c>
      <c r="M256" s="30">
        <v>26320.0</v>
      </c>
      <c r="N256" s="15" t="str">
        <f t="array" ref="N256">IFERROR(VLOOKUP(T256,Ref_sheet!$A$1:$B$8,2,FALSE))</f>
        <v/>
      </c>
      <c r="O256" s="12">
        <v>9.0</v>
      </c>
      <c r="P256" s="5" t="s">
        <v>53</v>
      </c>
      <c r="Q256" s="5"/>
      <c r="R256" s="5" t="s">
        <v>41</v>
      </c>
      <c r="S256" s="5"/>
      <c r="T256" s="5" t="s">
        <v>46</v>
      </c>
    </row>
    <row r="257">
      <c r="A257" s="25">
        <v>43866.0</v>
      </c>
      <c r="B257" s="28">
        <v>0.48333333333333334</v>
      </c>
      <c r="C257" s="5" t="s">
        <v>133</v>
      </c>
      <c r="D257" s="29">
        <v>43882.0</v>
      </c>
      <c r="E257" s="5">
        <v>13.0</v>
      </c>
      <c r="F257" s="5" t="s">
        <v>38</v>
      </c>
      <c r="G257" s="5">
        <v>12.13</v>
      </c>
      <c r="H257" s="5">
        <v>522.0</v>
      </c>
      <c r="I257" s="5">
        <v>0.46</v>
      </c>
      <c r="J257" s="5" t="s">
        <v>39</v>
      </c>
      <c r="K257" s="5">
        <v>15814.0</v>
      </c>
      <c r="L257" s="5">
        <v>41433.0</v>
      </c>
      <c r="M257" s="30">
        <v>23785.0</v>
      </c>
      <c r="N257" s="15" t="str">
        <f t="array" ref="N257">IFERROR(VLOOKUP(T257,Ref_sheet!$A$1:$B$8,2,FALSE))</f>
        <v/>
      </c>
      <c r="O257" s="12">
        <v>9.0</v>
      </c>
      <c r="P257" s="5" t="s">
        <v>53</v>
      </c>
      <c r="Q257" s="5"/>
      <c r="R257" s="5" t="s">
        <v>41</v>
      </c>
      <c r="S257" s="5"/>
      <c r="T257" s="5" t="s">
        <v>46</v>
      </c>
    </row>
    <row r="258">
      <c r="A258" s="25">
        <v>43866.0</v>
      </c>
      <c r="B258" s="28">
        <v>0.48333333333333334</v>
      </c>
      <c r="C258" s="5" t="s">
        <v>419</v>
      </c>
      <c r="D258" s="29">
        <v>43882.0</v>
      </c>
      <c r="E258" s="5">
        <v>140.0</v>
      </c>
      <c r="F258" s="5" t="s">
        <v>32</v>
      </c>
      <c r="G258" s="5">
        <v>135.68</v>
      </c>
      <c r="H258" s="5">
        <v>228.0</v>
      </c>
      <c r="I258" s="5">
        <v>10.2</v>
      </c>
      <c r="J258" s="5" t="s">
        <v>39</v>
      </c>
      <c r="K258" s="5">
        <v>828.0</v>
      </c>
      <c r="L258" s="5">
        <v>152.0</v>
      </c>
      <c r="M258" s="30">
        <v>232559.0</v>
      </c>
      <c r="N258" s="15" t="str">
        <f t="array" ref="N258">IFERROR(VLOOKUP(T258,Ref_sheet!$A$1:$B$8,2,FALSE))</f>
        <v/>
      </c>
      <c r="O258" s="12">
        <v>46.0</v>
      </c>
      <c r="P258" s="5" t="s">
        <v>40</v>
      </c>
      <c r="Q258" s="5"/>
      <c r="R258" s="5" t="s">
        <v>35</v>
      </c>
      <c r="S258" s="5"/>
      <c r="T258" s="5" t="s">
        <v>42</v>
      </c>
    </row>
    <row r="259">
      <c r="A259" s="25">
        <v>43866.0</v>
      </c>
      <c r="B259" s="28">
        <v>0.4826388888888889</v>
      </c>
      <c r="C259" s="5" t="s">
        <v>419</v>
      </c>
      <c r="D259" s="29">
        <v>43882.0</v>
      </c>
      <c r="E259" s="5">
        <v>140.0</v>
      </c>
      <c r="F259" s="5" t="s">
        <v>32</v>
      </c>
      <c r="G259" s="5">
        <v>135.55</v>
      </c>
      <c r="H259" s="5">
        <v>171.0</v>
      </c>
      <c r="I259" s="5">
        <v>10.3</v>
      </c>
      <c r="J259" s="5" t="s">
        <v>39</v>
      </c>
      <c r="K259" s="5">
        <v>600.0</v>
      </c>
      <c r="L259" s="5">
        <v>152.0</v>
      </c>
      <c r="M259" s="30">
        <v>176130.0</v>
      </c>
      <c r="N259" s="15" t="str">
        <f t="array" ref="N259">IFERROR(VLOOKUP(T259,Ref_sheet!$A$1:$B$8,2,FALSE))</f>
        <v/>
      </c>
      <c r="O259" s="12">
        <v>43.0</v>
      </c>
      <c r="P259" s="5" t="s">
        <v>40</v>
      </c>
      <c r="Q259" s="5"/>
      <c r="R259" s="5" t="s">
        <v>35</v>
      </c>
      <c r="S259" s="5"/>
      <c r="T259" s="5" t="s">
        <v>42</v>
      </c>
    </row>
    <row r="260">
      <c r="A260" s="25">
        <v>43866.0</v>
      </c>
      <c r="B260" s="28">
        <v>0.48125</v>
      </c>
      <c r="C260" s="5" t="s">
        <v>420</v>
      </c>
      <c r="D260" s="29">
        <v>43882.0</v>
      </c>
      <c r="E260" s="5">
        <v>17.5</v>
      </c>
      <c r="F260" s="5" t="s">
        <v>38</v>
      </c>
      <c r="G260" s="5">
        <v>18.51</v>
      </c>
      <c r="H260" s="5">
        <v>648.0</v>
      </c>
      <c r="I260" s="5">
        <v>1.3</v>
      </c>
      <c r="J260" s="5" t="s">
        <v>39</v>
      </c>
      <c r="K260" s="5">
        <v>651.0</v>
      </c>
      <c r="L260" s="5">
        <v>1356.0</v>
      </c>
      <c r="M260" s="30">
        <v>84239.0</v>
      </c>
      <c r="N260" s="15" t="str">
        <f t="array" ref="N260">IFERROR(VLOOKUP(T260,Ref_sheet!$A$1:$B$8,2,FALSE))</f>
        <v/>
      </c>
      <c r="O260" s="12">
        <v>42.0</v>
      </c>
      <c r="P260" s="5" t="s">
        <v>40</v>
      </c>
      <c r="Q260" s="5"/>
      <c r="R260" s="5" t="s">
        <v>41</v>
      </c>
      <c r="S260" s="5"/>
      <c r="T260" s="5" t="s">
        <v>46</v>
      </c>
    </row>
    <row r="261">
      <c r="A261" s="25">
        <v>43866.0</v>
      </c>
      <c r="B261" s="28">
        <v>0.48055555555555557</v>
      </c>
      <c r="C261" s="5" t="s">
        <v>413</v>
      </c>
      <c r="D261" s="29">
        <v>43868.0</v>
      </c>
      <c r="E261" s="5">
        <v>157.5</v>
      </c>
      <c r="F261" s="5" t="s">
        <v>38</v>
      </c>
      <c r="G261" s="5">
        <v>155.32</v>
      </c>
      <c r="H261" s="5">
        <v>500.0</v>
      </c>
      <c r="I261" s="5">
        <v>0.78</v>
      </c>
      <c r="J261" s="5" t="s">
        <v>33</v>
      </c>
      <c r="K261" s="5">
        <v>3734.0</v>
      </c>
      <c r="L261" s="5">
        <v>44.0</v>
      </c>
      <c r="M261" s="30">
        <v>39000.0</v>
      </c>
      <c r="N261" s="15" t="str">
        <f t="array" ref="N261">IFERROR(VLOOKUP(T261,Ref_sheet!$A$1:$B$8,2,FALSE))</f>
        <v/>
      </c>
      <c r="O261" s="12">
        <v>40.0</v>
      </c>
      <c r="P261" s="5" t="s">
        <v>40</v>
      </c>
      <c r="Q261" s="5"/>
      <c r="R261" s="5" t="s">
        <v>41</v>
      </c>
      <c r="S261" s="5"/>
      <c r="T261" s="5" t="s">
        <v>42</v>
      </c>
    </row>
    <row r="262">
      <c r="A262" s="25">
        <v>43866.0</v>
      </c>
      <c r="B262" s="28">
        <v>0.48055555555555557</v>
      </c>
      <c r="C262" s="5" t="s">
        <v>413</v>
      </c>
      <c r="D262" s="29">
        <v>43868.0</v>
      </c>
      <c r="E262" s="5">
        <v>157.5</v>
      </c>
      <c r="F262" s="5" t="s">
        <v>38</v>
      </c>
      <c r="G262" s="5">
        <v>155.29</v>
      </c>
      <c r="H262" s="5">
        <v>500.0</v>
      </c>
      <c r="I262" s="5">
        <v>0.74</v>
      </c>
      <c r="J262" s="5" t="s">
        <v>33</v>
      </c>
      <c r="K262" s="5">
        <v>3234.0</v>
      </c>
      <c r="L262" s="5">
        <v>44.0</v>
      </c>
      <c r="M262" s="30">
        <v>37000.0</v>
      </c>
      <c r="N262" s="15" t="str">
        <f t="array" ref="N262">IFERROR(VLOOKUP(T262,Ref_sheet!$A$1:$B$8,2,FALSE))</f>
        <v/>
      </c>
      <c r="O262" s="12">
        <v>41.0</v>
      </c>
      <c r="P262" s="5" t="s">
        <v>40</v>
      </c>
      <c r="Q262" s="5"/>
      <c r="R262" s="5" t="s">
        <v>41</v>
      </c>
      <c r="S262" s="5"/>
      <c r="T262" s="5" t="s">
        <v>42</v>
      </c>
    </row>
    <row r="263">
      <c r="A263" s="25">
        <v>43866.0</v>
      </c>
      <c r="B263" s="28">
        <v>0.4791666666666667</v>
      </c>
      <c r="C263" s="5" t="s">
        <v>339</v>
      </c>
      <c r="D263" s="29">
        <v>43875.0</v>
      </c>
      <c r="E263" s="5">
        <v>90.0</v>
      </c>
      <c r="F263" s="5" t="s">
        <v>38</v>
      </c>
      <c r="G263" s="5">
        <v>86.84</v>
      </c>
      <c r="H263" s="5">
        <v>266.0</v>
      </c>
      <c r="I263" s="5">
        <v>2.11</v>
      </c>
      <c r="J263" s="5" t="s">
        <v>39</v>
      </c>
      <c r="K263" s="5">
        <v>637.0</v>
      </c>
      <c r="L263" s="5">
        <v>121.0</v>
      </c>
      <c r="M263" s="30">
        <v>55993.0</v>
      </c>
      <c r="N263" s="15" t="str">
        <f t="array" ref="N263">IFERROR(VLOOKUP(T263,Ref_sheet!$A$1:$B$8,2,FALSE))</f>
        <v/>
      </c>
      <c r="O263" s="12">
        <v>46.0</v>
      </c>
      <c r="P263" s="5" t="s">
        <v>40</v>
      </c>
      <c r="Q263" s="5"/>
      <c r="R263" s="5" t="s">
        <v>41</v>
      </c>
      <c r="S263" s="5"/>
      <c r="T263" s="5" t="s">
        <v>42</v>
      </c>
    </row>
    <row r="264">
      <c r="A264" s="25">
        <v>43866.0</v>
      </c>
      <c r="B264" s="28">
        <v>0.4791666666666667</v>
      </c>
      <c r="C264" s="5" t="s">
        <v>103</v>
      </c>
      <c r="D264" s="29">
        <v>43938.0</v>
      </c>
      <c r="E264" s="5">
        <v>135.0</v>
      </c>
      <c r="F264" s="5" t="s">
        <v>38</v>
      </c>
      <c r="G264" s="5">
        <v>130.7</v>
      </c>
      <c r="H264" s="5">
        <v>113.0</v>
      </c>
      <c r="I264" s="5">
        <v>3.6</v>
      </c>
      <c r="J264" s="5" t="s">
        <v>48</v>
      </c>
      <c r="K264" s="5">
        <v>6704.0</v>
      </c>
      <c r="L264" s="5">
        <v>2458.0</v>
      </c>
      <c r="M264" s="30">
        <v>40680.0</v>
      </c>
      <c r="N264" s="15" t="str">
        <f t="array" ref="N264">IFERROR(VLOOKUP(T264,Ref_sheet!$A$1:$B$8,2,FALSE))</f>
        <v/>
      </c>
      <c r="O264" s="12">
        <v>3.0</v>
      </c>
      <c r="P264" s="5" t="s">
        <v>40</v>
      </c>
      <c r="Q264" s="5"/>
      <c r="R264" s="5" t="s">
        <v>41</v>
      </c>
      <c r="S264" s="5"/>
      <c r="T264" s="5" t="s">
        <v>36</v>
      </c>
    </row>
    <row r="265">
      <c r="A265" s="25">
        <v>43866.0</v>
      </c>
      <c r="B265" s="28">
        <v>0.4791666666666667</v>
      </c>
      <c r="C265" s="5" t="s">
        <v>119</v>
      </c>
      <c r="D265" s="29">
        <v>43868.0</v>
      </c>
      <c r="E265" s="5">
        <v>167.0</v>
      </c>
      <c r="F265" s="5" t="s">
        <v>38</v>
      </c>
      <c r="G265" s="5">
        <v>166.67</v>
      </c>
      <c r="H265" s="5">
        <v>1000.0</v>
      </c>
      <c r="I265" s="5">
        <v>0.75</v>
      </c>
      <c r="J265" s="5" t="s">
        <v>48</v>
      </c>
      <c r="K265" s="5">
        <v>6701.0</v>
      </c>
      <c r="L265" s="5">
        <v>4496.0</v>
      </c>
      <c r="M265" s="30">
        <v>75000.0</v>
      </c>
      <c r="N265" s="15" t="str">
        <f t="array" ref="N265">IFERROR(VLOOKUP(T265,Ref_sheet!$A$1:$B$8,2,FALSE))</f>
        <v/>
      </c>
      <c r="O265" s="12">
        <v>24.0</v>
      </c>
      <c r="P265" s="5" t="s">
        <v>34</v>
      </c>
      <c r="Q265" s="5"/>
      <c r="R265" s="5" t="s">
        <v>41</v>
      </c>
      <c r="S265" s="5"/>
      <c r="T265" s="5" t="s">
        <v>36</v>
      </c>
    </row>
    <row r="266">
      <c r="A266" s="25">
        <v>43866.0</v>
      </c>
      <c r="B266" s="28">
        <v>0.4791666666666667</v>
      </c>
      <c r="C266" s="5" t="s">
        <v>56</v>
      </c>
      <c r="D266" s="29">
        <v>43921.0</v>
      </c>
      <c r="E266" s="5">
        <v>55.0</v>
      </c>
      <c r="F266" s="5" t="s">
        <v>38</v>
      </c>
      <c r="G266" s="5">
        <v>54.65</v>
      </c>
      <c r="H266" s="5">
        <v>504.0</v>
      </c>
      <c r="I266" s="5">
        <v>1.52</v>
      </c>
      <c r="J266" s="5" t="s">
        <v>39</v>
      </c>
      <c r="K266" s="5">
        <v>11225.0</v>
      </c>
      <c r="L266" s="5">
        <v>301.0</v>
      </c>
      <c r="M266" s="30">
        <v>76608.0</v>
      </c>
      <c r="N266" s="15" t="str">
        <f t="array" ref="N266">IFERROR(VLOOKUP(T266,Ref_sheet!$A$1:$B$8,2,FALSE))</f>
        <v/>
      </c>
      <c r="O266" s="12">
        <v>31.0</v>
      </c>
      <c r="P266" s="5" t="s">
        <v>34</v>
      </c>
      <c r="Q266" s="5"/>
      <c r="R266" s="5" t="s">
        <v>41</v>
      </c>
      <c r="S266" s="5"/>
      <c r="T266" s="5" t="s">
        <v>42</v>
      </c>
    </row>
    <row r="267">
      <c r="A267" s="25">
        <v>43866.0</v>
      </c>
      <c r="B267" s="28">
        <v>0.4791666666666667</v>
      </c>
      <c r="C267" s="5" t="s">
        <v>119</v>
      </c>
      <c r="D267" s="29">
        <v>43868.0</v>
      </c>
      <c r="E267" s="5">
        <v>167.0</v>
      </c>
      <c r="F267" s="5" t="s">
        <v>38</v>
      </c>
      <c r="G267" s="5">
        <v>166.65</v>
      </c>
      <c r="H267" s="5">
        <v>3450.0</v>
      </c>
      <c r="I267" s="5">
        <v>0.75</v>
      </c>
      <c r="J267" s="5" t="s">
        <v>48</v>
      </c>
      <c r="K267" s="5">
        <v>5694.0</v>
      </c>
      <c r="L267" s="5">
        <v>4496.0</v>
      </c>
      <c r="M267" s="30">
        <v>258750.0</v>
      </c>
      <c r="N267" s="15" t="str">
        <f t="array" ref="N267">IFERROR(VLOOKUP(T267,Ref_sheet!$A$1:$B$8,2,FALSE))</f>
        <v/>
      </c>
      <c r="O267" s="12">
        <v>51.0</v>
      </c>
      <c r="P267" s="5" t="s">
        <v>34</v>
      </c>
      <c r="Q267" s="5"/>
      <c r="R267" s="5" t="s">
        <v>41</v>
      </c>
      <c r="S267" s="5"/>
      <c r="T267" s="5" t="s">
        <v>36</v>
      </c>
    </row>
    <row r="268">
      <c r="A268" s="25">
        <v>43866.0</v>
      </c>
      <c r="B268" s="28">
        <v>0.4777777777777778</v>
      </c>
      <c r="C268" s="5" t="s">
        <v>421</v>
      </c>
      <c r="D268" s="29">
        <v>44001.0</v>
      </c>
      <c r="E268" s="5">
        <v>61.0</v>
      </c>
      <c r="F268" s="5" t="s">
        <v>38</v>
      </c>
      <c r="G268" s="5">
        <v>56.62</v>
      </c>
      <c r="H268" s="5">
        <v>637.0</v>
      </c>
      <c r="I268" s="5">
        <v>0.76</v>
      </c>
      <c r="J268" s="5" t="s">
        <v>39</v>
      </c>
      <c r="K268" s="5">
        <v>1394.0</v>
      </c>
      <c r="L268" s="5">
        <v>280.0</v>
      </c>
      <c r="M268" s="30">
        <v>48412.0</v>
      </c>
      <c r="N268" s="15" t="str">
        <f t="array" ref="N268">IFERROR(VLOOKUP(T268,Ref_sheet!$A$1:$B$8,2,FALSE))</f>
        <v/>
      </c>
      <c r="O268" s="12">
        <v>36.0</v>
      </c>
      <c r="P268" s="5" t="s">
        <v>34</v>
      </c>
      <c r="Q268" s="5"/>
      <c r="R268" s="5" t="s">
        <v>41</v>
      </c>
      <c r="S268" s="5"/>
      <c r="T268" s="5" t="s">
        <v>42</v>
      </c>
    </row>
    <row r="269">
      <c r="A269" s="25">
        <v>43866.0</v>
      </c>
      <c r="B269" s="28">
        <v>0.47708333333333336</v>
      </c>
      <c r="C269" s="5" t="s">
        <v>62</v>
      </c>
      <c r="D269" s="29">
        <v>43938.0</v>
      </c>
      <c r="E269" s="5">
        <v>185.0</v>
      </c>
      <c r="F269" s="5" t="s">
        <v>38</v>
      </c>
      <c r="G269" s="5">
        <v>179.35</v>
      </c>
      <c r="H269" s="5">
        <v>1000.0</v>
      </c>
      <c r="I269" s="5">
        <v>4.65</v>
      </c>
      <c r="J269" s="5" t="s">
        <v>48</v>
      </c>
      <c r="K269" s="5">
        <v>12728.0</v>
      </c>
      <c r="L269" s="5">
        <v>8085.0</v>
      </c>
      <c r="M269" s="30">
        <v>465000.0</v>
      </c>
      <c r="N269" s="15" t="str">
        <f t="array" ref="N269">IFERROR(VLOOKUP(T269,Ref_sheet!$A$1:$B$8,2,FALSE))</f>
        <v/>
      </c>
      <c r="O269" s="12">
        <v>10.0</v>
      </c>
      <c r="P269" s="5" t="s">
        <v>40</v>
      </c>
      <c r="Q269" s="5"/>
      <c r="R269" s="5" t="s">
        <v>41</v>
      </c>
      <c r="S269" s="5"/>
      <c r="T269" s="5" t="s">
        <v>36</v>
      </c>
    </row>
    <row r="270">
      <c r="A270" s="25">
        <v>43866.0</v>
      </c>
      <c r="B270" s="28">
        <v>0.47638888888888886</v>
      </c>
      <c r="C270" s="5" t="s">
        <v>151</v>
      </c>
      <c r="D270" s="29">
        <v>43882.0</v>
      </c>
      <c r="E270" s="5">
        <v>15.5</v>
      </c>
      <c r="F270" s="5" t="s">
        <v>38</v>
      </c>
      <c r="G270" s="5">
        <v>15.66</v>
      </c>
      <c r="H270" s="5">
        <v>1700.0</v>
      </c>
      <c r="I270" s="5">
        <v>0.75</v>
      </c>
      <c r="J270" s="5" t="s">
        <v>48</v>
      </c>
      <c r="K270" s="5">
        <v>8791.0</v>
      </c>
      <c r="L270" s="5">
        <v>2026.0</v>
      </c>
      <c r="M270" s="30">
        <v>127500.0</v>
      </c>
      <c r="N270" s="15" t="str">
        <f t="array" ref="N270">IFERROR(VLOOKUP(T270,Ref_sheet!$A$1:$B$8,2,FALSE))</f>
        <v/>
      </c>
      <c r="O270" s="12">
        <v>37.0</v>
      </c>
      <c r="P270" s="5" t="s">
        <v>45</v>
      </c>
      <c r="Q270" s="5"/>
      <c r="R270" s="5" t="s">
        <v>41</v>
      </c>
      <c r="S270" s="5"/>
      <c r="T270" s="5" t="s">
        <v>36</v>
      </c>
    </row>
    <row r="271">
      <c r="A271" s="25">
        <v>43866.0</v>
      </c>
      <c r="B271" s="28">
        <v>0.47430555555555554</v>
      </c>
      <c r="C271" s="5" t="s">
        <v>415</v>
      </c>
      <c r="D271" s="29">
        <v>43910.0</v>
      </c>
      <c r="E271" s="5">
        <v>240.0</v>
      </c>
      <c r="F271" s="5" t="s">
        <v>38</v>
      </c>
      <c r="G271" s="5">
        <v>219.97</v>
      </c>
      <c r="H271" s="5">
        <v>610.0</v>
      </c>
      <c r="I271" s="5">
        <v>3.15</v>
      </c>
      <c r="J271" s="5" t="s">
        <v>39</v>
      </c>
      <c r="K271" s="5">
        <v>1769.0</v>
      </c>
      <c r="L271" s="5">
        <v>12093.0</v>
      </c>
      <c r="M271" s="30">
        <v>192100.0</v>
      </c>
      <c r="N271" s="15" t="str">
        <f t="array" ref="N271">IFERROR(VLOOKUP(T271,Ref_sheet!$A$1:$B$8,2,FALSE))</f>
        <v/>
      </c>
      <c r="O271" s="12">
        <v>15.0</v>
      </c>
      <c r="P271" s="5" t="s">
        <v>51</v>
      </c>
      <c r="Q271" s="5"/>
      <c r="R271" s="5" t="s">
        <v>41</v>
      </c>
      <c r="S271" s="5"/>
      <c r="T271" s="5" t="s">
        <v>46</v>
      </c>
    </row>
    <row r="272">
      <c r="A272" s="25">
        <v>43866.0</v>
      </c>
      <c r="B272" s="28">
        <v>0.4736111111111111</v>
      </c>
      <c r="C272" s="5" t="s">
        <v>44</v>
      </c>
      <c r="D272" s="29">
        <v>43910.0</v>
      </c>
      <c r="E272" s="5">
        <v>13.0</v>
      </c>
      <c r="F272" s="5" t="s">
        <v>38</v>
      </c>
      <c r="G272" s="5">
        <v>12.27</v>
      </c>
      <c r="H272" s="5">
        <v>2008.0</v>
      </c>
      <c r="I272" s="5">
        <v>0.43</v>
      </c>
      <c r="J272" s="5" t="s">
        <v>39</v>
      </c>
      <c r="K272" s="5">
        <v>5340.0</v>
      </c>
      <c r="L272" s="5">
        <v>19899.0</v>
      </c>
      <c r="M272" s="30">
        <v>86344.0</v>
      </c>
      <c r="N272" s="15" t="str">
        <f t="array" ref="N272">IFERROR(VLOOKUP(T272,Ref_sheet!$A$1:$B$8,2,FALSE))</f>
        <v/>
      </c>
      <c r="O272" s="12">
        <v>15.0</v>
      </c>
      <c r="P272" s="5" t="s">
        <v>45</v>
      </c>
      <c r="Q272" s="5"/>
      <c r="R272" s="5" t="s">
        <v>41</v>
      </c>
      <c r="S272" s="5"/>
      <c r="T272" s="5" t="s">
        <v>46</v>
      </c>
    </row>
    <row r="273">
      <c r="A273" s="25">
        <v>43866.0</v>
      </c>
      <c r="B273" s="28">
        <v>0.4736111111111111</v>
      </c>
      <c r="C273" s="5" t="s">
        <v>415</v>
      </c>
      <c r="D273" s="29">
        <v>43910.0</v>
      </c>
      <c r="E273" s="5">
        <v>240.0</v>
      </c>
      <c r="F273" s="5" t="s">
        <v>38</v>
      </c>
      <c r="G273" s="5">
        <v>219.82</v>
      </c>
      <c r="H273" s="5">
        <v>363.0</v>
      </c>
      <c r="I273" s="5">
        <v>3.09</v>
      </c>
      <c r="J273" s="5" t="s">
        <v>39</v>
      </c>
      <c r="K273" s="5">
        <v>896.0</v>
      </c>
      <c r="L273" s="5">
        <v>12093.0</v>
      </c>
      <c r="M273" s="30">
        <v>112230.0</v>
      </c>
      <c r="N273" s="15" t="str">
        <f t="array" ref="N273">IFERROR(VLOOKUP(T273,Ref_sheet!$A$1:$B$8,2,FALSE))</f>
        <v/>
      </c>
      <c r="O273" s="12">
        <v>16.0</v>
      </c>
      <c r="P273" s="5" t="s">
        <v>51</v>
      </c>
      <c r="Q273" s="5"/>
      <c r="R273" s="5" t="s">
        <v>41</v>
      </c>
      <c r="S273" s="5"/>
      <c r="T273" s="5" t="s">
        <v>46</v>
      </c>
    </row>
    <row r="274">
      <c r="A274" s="25">
        <v>43866.0</v>
      </c>
      <c r="B274" s="28">
        <v>0.4736111111111111</v>
      </c>
      <c r="C274" s="5" t="s">
        <v>151</v>
      </c>
      <c r="D274" s="29">
        <v>43882.0</v>
      </c>
      <c r="E274" s="5">
        <v>15.5</v>
      </c>
      <c r="F274" s="5" t="s">
        <v>38</v>
      </c>
      <c r="G274" s="5">
        <v>15.65</v>
      </c>
      <c r="H274" s="5">
        <v>500.0</v>
      </c>
      <c r="I274" s="5">
        <v>0.7</v>
      </c>
      <c r="J274" s="5" t="s">
        <v>39</v>
      </c>
      <c r="K274" s="5">
        <v>6790.0</v>
      </c>
      <c r="L274" s="5">
        <v>2026.0</v>
      </c>
      <c r="M274" s="30">
        <v>35000.0</v>
      </c>
      <c r="N274" s="15" t="str">
        <f t="array" ref="N274">IFERROR(VLOOKUP(T274,Ref_sheet!$A$1:$B$8,2,FALSE))</f>
        <v/>
      </c>
      <c r="O274" s="12">
        <v>15.0</v>
      </c>
      <c r="P274" s="5" t="s">
        <v>45</v>
      </c>
      <c r="Q274" s="5"/>
      <c r="R274" s="5" t="s">
        <v>41</v>
      </c>
      <c r="S274" s="5"/>
      <c r="T274" s="5" t="s">
        <v>36</v>
      </c>
    </row>
    <row r="275">
      <c r="A275" s="25">
        <v>43866.0</v>
      </c>
      <c r="B275" s="28">
        <v>0.47291666666666665</v>
      </c>
      <c r="C275" s="5" t="s">
        <v>260</v>
      </c>
      <c r="D275" s="29">
        <v>43896.0</v>
      </c>
      <c r="E275" s="5">
        <v>80.0</v>
      </c>
      <c r="F275" s="5" t="s">
        <v>38</v>
      </c>
      <c r="G275" s="5">
        <v>78.44</v>
      </c>
      <c r="H275" s="5">
        <v>533.0</v>
      </c>
      <c r="I275" s="5">
        <v>1.39</v>
      </c>
      <c r="J275" s="5" t="s">
        <v>39</v>
      </c>
      <c r="K275" s="5">
        <v>541.0</v>
      </c>
      <c r="L275" s="5">
        <v>698.0</v>
      </c>
      <c r="M275" s="30">
        <v>74087.0</v>
      </c>
      <c r="N275" s="15" t="str">
        <f t="array" ref="N275">IFERROR(VLOOKUP(T275,Ref_sheet!$A$1:$B$8,2,FALSE))</f>
        <v/>
      </c>
      <c r="O275" s="12">
        <v>46.0</v>
      </c>
      <c r="P275" s="5" t="s">
        <v>162</v>
      </c>
      <c r="Q275" s="5"/>
      <c r="R275" s="5" t="s">
        <v>41</v>
      </c>
      <c r="S275" s="5"/>
      <c r="T275" s="5" t="s">
        <v>46</v>
      </c>
    </row>
    <row r="276">
      <c r="A276" s="25">
        <v>43866.0</v>
      </c>
      <c r="B276" s="28">
        <v>0.47291666666666665</v>
      </c>
      <c r="C276" s="5" t="s">
        <v>49</v>
      </c>
      <c r="D276" s="29">
        <v>43910.0</v>
      </c>
      <c r="E276" s="5">
        <v>229.0</v>
      </c>
      <c r="F276" s="5" t="s">
        <v>32</v>
      </c>
      <c r="G276" s="5">
        <v>227.89</v>
      </c>
      <c r="H276" s="5">
        <v>2000.0</v>
      </c>
      <c r="I276" s="5">
        <v>5.54</v>
      </c>
      <c r="J276" s="5" t="s">
        <v>48</v>
      </c>
      <c r="K276" s="5">
        <v>5575.0</v>
      </c>
      <c r="L276" s="5">
        <v>1666.0</v>
      </c>
      <c r="M276" s="30">
        <v>1108000.0</v>
      </c>
      <c r="N276" s="15" t="str">
        <f t="array" ref="N276">IFERROR(VLOOKUP(T276,Ref_sheet!$A$1:$B$8,2,FALSE))</f>
        <v/>
      </c>
      <c r="O276" s="12">
        <v>41.0</v>
      </c>
      <c r="P276" s="5" t="s">
        <v>34</v>
      </c>
      <c r="Q276" s="5"/>
      <c r="R276" s="5" t="s">
        <v>35</v>
      </c>
      <c r="S276" s="5"/>
      <c r="T276" s="5" t="s">
        <v>42</v>
      </c>
    </row>
    <row r="277">
      <c r="A277" s="25">
        <v>43866.0</v>
      </c>
      <c r="B277" s="28">
        <v>0.4722222222222222</v>
      </c>
      <c r="C277" s="5" t="s">
        <v>422</v>
      </c>
      <c r="D277" s="29">
        <v>43868.0</v>
      </c>
      <c r="E277" s="5">
        <v>45.5</v>
      </c>
      <c r="F277" s="5" t="s">
        <v>38</v>
      </c>
      <c r="G277" s="5">
        <v>45.37</v>
      </c>
      <c r="H277" s="5">
        <v>763.0</v>
      </c>
      <c r="I277" s="5">
        <v>0.55</v>
      </c>
      <c r="J277" s="5" t="s">
        <v>39</v>
      </c>
      <c r="K277" s="5">
        <v>811.0</v>
      </c>
      <c r="L277" s="5">
        <v>267.0</v>
      </c>
      <c r="M277" s="30">
        <v>41947.0</v>
      </c>
      <c r="N277" s="15" t="str">
        <f t="array" ref="N277">IFERROR(VLOOKUP(T277,Ref_sheet!$A$1:$B$8,2,FALSE))</f>
        <v/>
      </c>
      <c r="O277" s="12">
        <v>56.0</v>
      </c>
      <c r="P277" s="5" t="s">
        <v>51</v>
      </c>
      <c r="Q277" s="5"/>
      <c r="R277" s="5" t="s">
        <v>41</v>
      </c>
      <c r="S277" s="5"/>
      <c r="T277" s="5" t="s">
        <v>42</v>
      </c>
    </row>
    <row r="278">
      <c r="A278" s="25">
        <v>43866.0</v>
      </c>
      <c r="B278" s="28">
        <v>0.47152777777777777</v>
      </c>
      <c r="C278" s="5" t="s">
        <v>161</v>
      </c>
      <c r="D278" s="29">
        <v>43966.0</v>
      </c>
      <c r="E278" s="5">
        <v>67.5</v>
      </c>
      <c r="F278" s="5" t="s">
        <v>38</v>
      </c>
      <c r="G278" s="5">
        <v>65.5</v>
      </c>
      <c r="H278" s="5">
        <v>772.0</v>
      </c>
      <c r="I278" s="5">
        <v>2.25</v>
      </c>
      <c r="J278" s="5" t="s">
        <v>39</v>
      </c>
      <c r="K278" s="5">
        <v>826.0</v>
      </c>
      <c r="L278" s="5">
        <v>2197.0</v>
      </c>
      <c r="M278" s="30">
        <v>173698.0</v>
      </c>
      <c r="N278" s="15" t="str">
        <f t="array" ref="N278">IFERROR(VLOOKUP(T278,Ref_sheet!$A$1:$B$8,2,FALSE))</f>
        <v/>
      </c>
      <c r="O278" s="12">
        <v>31.0</v>
      </c>
      <c r="P278" s="5" t="s">
        <v>53</v>
      </c>
      <c r="Q278" s="5"/>
      <c r="R278" s="5" t="s">
        <v>41</v>
      </c>
      <c r="S278" s="5"/>
      <c r="T278" s="5" t="s">
        <v>46</v>
      </c>
    </row>
    <row r="279">
      <c r="A279" s="25">
        <v>43866.0</v>
      </c>
      <c r="B279" s="28">
        <v>0.4701388888888889</v>
      </c>
      <c r="C279" s="5" t="s">
        <v>339</v>
      </c>
      <c r="D279" s="29">
        <v>43966.0</v>
      </c>
      <c r="E279" s="5">
        <v>95.0</v>
      </c>
      <c r="F279" s="5" t="s">
        <v>38</v>
      </c>
      <c r="G279" s="5">
        <v>87.97</v>
      </c>
      <c r="H279" s="5">
        <v>1245.0</v>
      </c>
      <c r="I279" s="5">
        <v>6.3</v>
      </c>
      <c r="J279" s="5" t="s">
        <v>48</v>
      </c>
      <c r="K279" s="5">
        <v>1309.0</v>
      </c>
      <c r="L279" s="5">
        <v>421.0</v>
      </c>
      <c r="M279" s="30">
        <v>784350.0</v>
      </c>
      <c r="N279" s="15" t="str">
        <f t="array" ref="N279">IFERROR(VLOOKUP(T279,Ref_sheet!$A$1:$B$8,2,FALSE))</f>
        <v/>
      </c>
      <c r="O279" s="12">
        <v>49.0</v>
      </c>
      <c r="P279" s="5" t="s">
        <v>40</v>
      </c>
      <c r="Q279" s="5"/>
      <c r="R279" s="5" t="s">
        <v>41</v>
      </c>
      <c r="S279" s="5"/>
      <c r="T279" s="5" t="s">
        <v>42</v>
      </c>
    </row>
    <row r="280">
      <c r="A280" s="25">
        <v>43866.0</v>
      </c>
      <c r="B280" s="28">
        <v>0.46944444444444444</v>
      </c>
      <c r="C280" s="5" t="s">
        <v>413</v>
      </c>
      <c r="D280" s="29">
        <v>43938.0</v>
      </c>
      <c r="E280" s="5">
        <v>160.0</v>
      </c>
      <c r="F280" s="5" t="s">
        <v>38</v>
      </c>
      <c r="G280" s="5">
        <v>156.38</v>
      </c>
      <c r="H280" s="5">
        <v>351.0</v>
      </c>
      <c r="I280" s="5">
        <v>4.2</v>
      </c>
      <c r="J280" s="5" t="s">
        <v>39</v>
      </c>
      <c r="K280" s="5">
        <v>1789.0</v>
      </c>
      <c r="L280" s="5">
        <v>1550.0</v>
      </c>
      <c r="M280" s="30">
        <v>147420.0</v>
      </c>
      <c r="N280" s="15" t="str">
        <f t="array" ref="N280">IFERROR(VLOOKUP(T280,Ref_sheet!$A$1:$B$8,2,FALSE))</f>
        <v/>
      </c>
      <c r="O280" s="12">
        <v>14.0</v>
      </c>
      <c r="P280" s="5" t="s">
        <v>40</v>
      </c>
      <c r="Q280" s="5"/>
      <c r="R280" s="5" t="s">
        <v>41</v>
      </c>
      <c r="S280" s="5"/>
      <c r="T280" s="5" t="s">
        <v>36</v>
      </c>
    </row>
    <row r="281">
      <c r="A281" s="25">
        <v>43866.0</v>
      </c>
      <c r="B281" s="28">
        <v>0.46944444444444444</v>
      </c>
      <c r="C281" s="5" t="s">
        <v>220</v>
      </c>
      <c r="D281" s="29">
        <v>43868.0</v>
      </c>
      <c r="E281" s="5">
        <v>810.0</v>
      </c>
      <c r="F281" s="5" t="s">
        <v>38</v>
      </c>
      <c r="G281" s="5">
        <v>779.36</v>
      </c>
      <c r="H281" s="5">
        <v>154.0</v>
      </c>
      <c r="I281" s="5">
        <v>21.37</v>
      </c>
      <c r="J281" s="5" t="s">
        <v>48</v>
      </c>
      <c r="K281" s="5">
        <v>2941.0</v>
      </c>
      <c r="L281" s="5">
        <v>2331.0</v>
      </c>
      <c r="M281" s="30">
        <v>329051.0</v>
      </c>
      <c r="N281" s="15" t="str">
        <f t="array" ref="N281">IFERROR(VLOOKUP(T281,Ref_sheet!$A$1:$B$8,2,FALSE))</f>
        <v/>
      </c>
      <c r="O281" s="12">
        <v>23.0</v>
      </c>
      <c r="P281" s="5" t="s">
        <v>58</v>
      </c>
      <c r="Q281" s="5"/>
      <c r="R281" s="5" t="s">
        <v>41</v>
      </c>
      <c r="S281" s="5"/>
      <c r="T281" s="5" t="s">
        <v>36</v>
      </c>
    </row>
    <row r="282">
      <c r="A282" s="25">
        <v>43866.0</v>
      </c>
      <c r="B282" s="28">
        <v>0.46944444444444444</v>
      </c>
      <c r="C282" s="5" t="s">
        <v>133</v>
      </c>
      <c r="D282" s="29">
        <v>43910.0</v>
      </c>
      <c r="E282" s="5">
        <v>12.0</v>
      </c>
      <c r="F282" s="5" t="s">
        <v>38</v>
      </c>
      <c r="G282" s="5">
        <v>12.21</v>
      </c>
      <c r="H282" s="5">
        <v>500.0</v>
      </c>
      <c r="I282" s="5">
        <v>1.2</v>
      </c>
      <c r="J282" s="5" t="s">
        <v>33</v>
      </c>
      <c r="K282" s="5">
        <v>1149.0</v>
      </c>
      <c r="L282" s="5">
        <v>18334.0</v>
      </c>
      <c r="M282" s="30">
        <v>60000.0</v>
      </c>
      <c r="N282" s="15" t="str">
        <f t="array" ref="N282">IFERROR(VLOOKUP(T282,Ref_sheet!$A$1:$B$8,2,FALSE))</f>
        <v/>
      </c>
      <c r="O282" s="12">
        <v>15.0</v>
      </c>
      <c r="P282" s="5" t="s">
        <v>53</v>
      </c>
      <c r="Q282" s="5"/>
      <c r="R282" s="5" t="s">
        <v>41</v>
      </c>
      <c r="S282" s="5"/>
      <c r="T282" s="5" t="s">
        <v>46</v>
      </c>
    </row>
    <row r="283">
      <c r="A283" s="25">
        <v>43866.0</v>
      </c>
      <c r="B283" s="28">
        <v>0.46944444444444444</v>
      </c>
      <c r="C283" s="5" t="s">
        <v>360</v>
      </c>
      <c r="D283" s="29">
        <v>43910.0</v>
      </c>
      <c r="E283" s="5">
        <v>1550.0</v>
      </c>
      <c r="F283" s="5" t="s">
        <v>38</v>
      </c>
      <c r="G283" s="5">
        <v>1435.29</v>
      </c>
      <c r="H283" s="5">
        <v>1250.0</v>
      </c>
      <c r="I283" s="5">
        <v>8.2</v>
      </c>
      <c r="J283" s="5" t="s">
        <v>48</v>
      </c>
      <c r="K283" s="5">
        <v>1264.0</v>
      </c>
      <c r="L283" s="5">
        <v>1624.0</v>
      </c>
      <c r="M283" s="30">
        <v>1025000.0</v>
      </c>
      <c r="N283" s="15" t="str">
        <f t="array" ref="N283">IFERROR(VLOOKUP(T283,Ref_sheet!$A$1:$B$8,2,FALSE))</f>
        <v/>
      </c>
      <c r="O283" s="12">
        <v>48.0</v>
      </c>
      <c r="P283" s="5" t="s">
        <v>40</v>
      </c>
      <c r="Q283" s="5"/>
      <c r="R283" s="5" t="s">
        <v>41</v>
      </c>
      <c r="S283" s="5"/>
      <c r="T283" s="5" t="s">
        <v>46</v>
      </c>
    </row>
    <row r="284">
      <c r="A284" s="25">
        <v>43866.0</v>
      </c>
      <c r="B284" s="28">
        <v>0.46875</v>
      </c>
      <c r="C284" s="5" t="s">
        <v>67</v>
      </c>
      <c r="D284" s="29">
        <v>44211.0</v>
      </c>
      <c r="E284" s="5">
        <v>65.0</v>
      </c>
      <c r="F284" s="5" t="s">
        <v>38</v>
      </c>
      <c r="G284" s="5">
        <v>37.61</v>
      </c>
      <c r="H284" s="5">
        <v>1798.0</v>
      </c>
      <c r="I284" s="5">
        <v>1.05</v>
      </c>
      <c r="J284" s="5" t="s">
        <v>39</v>
      </c>
      <c r="K284" s="5">
        <v>4280.0</v>
      </c>
      <c r="L284" s="5">
        <v>22615.0</v>
      </c>
      <c r="M284" s="30">
        <v>188790.0</v>
      </c>
      <c r="N284" s="15" t="str">
        <f t="array" ref="N284">IFERROR(VLOOKUP(T284,Ref_sheet!$A$1:$B$8,2,FALSE))</f>
        <v/>
      </c>
      <c r="O284" s="12">
        <v>14.0</v>
      </c>
      <c r="P284" s="5" t="s">
        <v>40</v>
      </c>
      <c r="Q284" s="5"/>
      <c r="R284" s="5" t="s">
        <v>41</v>
      </c>
      <c r="S284" s="5"/>
      <c r="T284" s="5" t="s">
        <v>46</v>
      </c>
    </row>
    <row r="285">
      <c r="A285" s="25">
        <v>43866.0</v>
      </c>
      <c r="B285" s="28">
        <v>0.46805555555555556</v>
      </c>
      <c r="C285" s="5" t="s">
        <v>204</v>
      </c>
      <c r="D285" s="29">
        <v>43868.0</v>
      </c>
      <c r="E285" s="5">
        <v>17.5</v>
      </c>
      <c r="F285" s="5" t="s">
        <v>32</v>
      </c>
      <c r="G285" s="5">
        <v>17.68</v>
      </c>
      <c r="H285" s="5">
        <v>511.0</v>
      </c>
      <c r="I285" s="5">
        <v>0.25</v>
      </c>
      <c r="J285" s="5" t="s">
        <v>39</v>
      </c>
      <c r="K285" s="5">
        <v>1043.0</v>
      </c>
      <c r="L285" s="5">
        <v>49.0</v>
      </c>
      <c r="M285" s="30">
        <v>12775.0</v>
      </c>
      <c r="N285" s="15" t="str">
        <f t="array" ref="N285">IFERROR(VLOOKUP(T285,Ref_sheet!$A$1:$B$8,2,FALSE))</f>
        <v/>
      </c>
      <c r="O285" s="12">
        <v>47.0</v>
      </c>
      <c r="P285" s="5" t="s">
        <v>40</v>
      </c>
      <c r="Q285" s="5"/>
      <c r="R285" s="5" t="s">
        <v>35</v>
      </c>
      <c r="S285" s="5"/>
      <c r="T285" s="5" t="s">
        <v>42</v>
      </c>
    </row>
    <row r="286">
      <c r="A286" s="25">
        <v>43866.0</v>
      </c>
      <c r="B286" s="28">
        <v>0.46805555555555556</v>
      </c>
      <c r="C286" s="5" t="s">
        <v>176</v>
      </c>
      <c r="D286" s="29">
        <v>43938.0</v>
      </c>
      <c r="E286" s="5">
        <v>9.0</v>
      </c>
      <c r="F286" s="5" t="s">
        <v>32</v>
      </c>
      <c r="G286" s="5">
        <v>9.36</v>
      </c>
      <c r="H286" s="5">
        <v>1060.0</v>
      </c>
      <c r="I286" s="5">
        <v>0.67</v>
      </c>
      <c r="J286" s="5" t="s">
        <v>48</v>
      </c>
      <c r="K286" s="5">
        <v>2070.0</v>
      </c>
      <c r="L286" s="5">
        <v>37556.0</v>
      </c>
      <c r="M286" s="30">
        <v>71020.0</v>
      </c>
      <c r="N286" s="15" t="str">
        <f t="array" ref="N286">IFERROR(VLOOKUP(T286,Ref_sheet!$A$1:$B$8,2,FALSE))</f>
        <v/>
      </c>
      <c r="O286" s="12">
        <v>14.0</v>
      </c>
      <c r="P286" s="5" t="s">
        <v>45</v>
      </c>
      <c r="Q286" s="5"/>
      <c r="R286" s="5" t="s">
        <v>35</v>
      </c>
      <c r="S286" s="5"/>
      <c r="T286" s="5" t="s">
        <v>46</v>
      </c>
    </row>
    <row r="287">
      <c r="A287" s="25">
        <v>43866.0</v>
      </c>
      <c r="B287" s="28">
        <v>0.46805555555555556</v>
      </c>
      <c r="C287" s="5" t="s">
        <v>423</v>
      </c>
      <c r="D287" s="29">
        <v>44064.0</v>
      </c>
      <c r="E287" s="5">
        <v>2.5</v>
      </c>
      <c r="F287" s="5" t="s">
        <v>38</v>
      </c>
      <c r="G287" s="5">
        <v>2.49</v>
      </c>
      <c r="H287" s="5">
        <v>1604.0</v>
      </c>
      <c r="I287" s="5">
        <v>0.6</v>
      </c>
      <c r="J287" s="5" t="s">
        <v>48</v>
      </c>
      <c r="K287" s="5">
        <v>1604.0</v>
      </c>
      <c r="L287" s="5">
        <v>0.0</v>
      </c>
      <c r="M287" s="30">
        <v>96240.0</v>
      </c>
      <c r="N287" s="15" t="str">
        <f t="array" ref="N287">IFERROR(VLOOKUP(T287,Ref_sheet!$A$1:$B$8,2,FALSE))</f>
        <v/>
      </c>
      <c r="O287" s="12">
        <v>48.0</v>
      </c>
      <c r="P287" s="5" t="s">
        <v>182</v>
      </c>
      <c r="Q287" s="5"/>
      <c r="R287" s="5" t="s">
        <v>41</v>
      </c>
      <c r="S287" s="5"/>
      <c r="T287" s="5" t="s">
        <v>42</v>
      </c>
    </row>
    <row r="288">
      <c r="A288" s="25">
        <v>43866.0</v>
      </c>
      <c r="B288" s="28">
        <v>0.4673611111111111</v>
      </c>
      <c r="C288" s="5" t="s">
        <v>62</v>
      </c>
      <c r="D288" s="29">
        <v>43882.0</v>
      </c>
      <c r="E288" s="5">
        <v>167.5</v>
      </c>
      <c r="F288" s="5" t="s">
        <v>38</v>
      </c>
      <c r="G288" s="5">
        <v>179.66</v>
      </c>
      <c r="H288" s="5">
        <v>1000.0</v>
      </c>
      <c r="I288" s="5">
        <v>13.8</v>
      </c>
      <c r="J288" s="5" t="s">
        <v>48</v>
      </c>
      <c r="K288" s="5">
        <v>1109.0</v>
      </c>
      <c r="L288" s="5">
        <v>4333.0</v>
      </c>
      <c r="M288" s="30">
        <v>1380000.0</v>
      </c>
      <c r="N288" s="15" t="str">
        <f t="array" ref="N288">IFERROR(VLOOKUP(T288,Ref_sheet!$A$1:$B$8,2,FALSE))</f>
        <v/>
      </c>
      <c r="O288" s="12">
        <v>39.0</v>
      </c>
      <c r="P288" s="5" t="s">
        <v>40</v>
      </c>
      <c r="Q288" s="5"/>
      <c r="R288" s="5" t="s">
        <v>41</v>
      </c>
      <c r="S288" s="5"/>
      <c r="T288" s="5" t="s">
        <v>46</v>
      </c>
    </row>
    <row r="289">
      <c r="A289" s="25">
        <v>43866.0</v>
      </c>
      <c r="B289" s="28">
        <v>0.4666666666666667</v>
      </c>
      <c r="C289" s="5" t="s">
        <v>133</v>
      </c>
      <c r="D289" s="29">
        <v>43875.0</v>
      </c>
      <c r="E289" s="5">
        <v>12.5</v>
      </c>
      <c r="F289" s="5" t="s">
        <v>38</v>
      </c>
      <c r="G289" s="5">
        <v>12.19</v>
      </c>
      <c r="H289" s="5">
        <v>594.0</v>
      </c>
      <c r="I289" s="5">
        <v>0.59</v>
      </c>
      <c r="J289" s="5" t="s">
        <v>39</v>
      </c>
      <c r="K289" s="5">
        <v>790.0</v>
      </c>
      <c r="L289" s="5">
        <v>3531.0</v>
      </c>
      <c r="M289" s="30">
        <v>35046.0</v>
      </c>
      <c r="N289" s="15" t="str">
        <f t="array" ref="N289">IFERROR(VLOOKUP(T289,Ref_sheet!$A$1:$B$8,2,FALSE))</f>
        <v/>
      </c>
      <c r="O289" s="12">
        <v>29.0</v>
      </c>
      <c r="P289" s="5" t="s">
        <v>53</v>
      </c>
      <c r="Q289" s="5"/>
      <c r="R289" s="5" t="s">
        <v>41</v>
      </c>
      <c r="S289" s="5"/>
      <c r="T289" s="5" t="s">
        <v>46</v>
      </c>
    </row>
    <row r="290">
      <c r="A290" s="25">
        <v>43866.0</v>
      </c>
      <c r="B290" s="28">
        <v>0.4666666666666667</v>
      </c>
      <c r="C290" s="5" t="s">
        <v>82</v>
      </c>
      <c r="D290" s="29">
        <v>43875.0</v>
      </c>
      <c r="E290" s="5">
        <v>6.5</v>
      </c>
      <c r="F290" s="5" t="s">
        <v>38</v>
      </c>
      <c r="G290" s="5">
        <v>6.04</v>
      </c>
      <c r="H290" s="5">
        <v>747.0</v>
      </c>
      <c r="I290" s="5">
        <v>0.22</v>
      </c>
      <c r="J290" s="5" t="s">
        <v>39</v>
      </c>
      <c r="K290" s="5">
        <v>30488.0</v>
      </c>
      <c r="L290" s="5">
        <v>973.0</v>
      </c>
      <c r="M290" s="30">
        <v>16434.0</v>
      </c>
      <c r="N290" s="15" t="str">
        <f t="array" ref="N290">IFERROR(VLOOKUP(T290,Ref_sheet!$A$1:$B$8,2,FALSE))</f>
        <v/>
      </c>
      <c r="O290" s="12">
        <v>55.0</v>
      </c>
      <c r="P290" s="5" t="s">
        <v>40</v>
      </c>
      <c r="Q290" s="5" t="b">
        <v>1</v>
      </c>
      <c r="R290" s="5" t="s">
        <v>41</v>
      </c>
      <c r="S290" s="5"/>
      <c r="T290" s="5" t="s">
        <v>401</v>
      </c>
    </row>
    <row r="291">
      <c r="A291" s="25">
        <v>43866.0</v>
      </c>
      <c r="B291" s="28">
        <v>0.46597222222222223</v>
      </c>
      <c r="C291" s="5" t="s">
        <v>424</v>
      </c>
      <c r="D291" s="29">
        <v>43882.0</v>
      </c>
      <c r="E291" s="5">
        <v>35.0</v>
      </c>
      <c r="F291" s="5" t="s">
        <v>38</v>
      </c>
      <c r="G291" s="5">
        <v>33.84</v>
      </c>
      <c r="H291" s="5">
        <v>1000.0</v>
      </c>
      <c r="I291" s="5">
        <v>0.75</v>
      </c>
      <c r="J291" s="5" t="s">
        <v>48</v>
      </c>
      <c r="K291" s="5">
        <v>3718.0</v>
      </c>
      <c r="L291" s="5">
        <v>2603.0</v>
      </c>
      <c r="M291" s="30">
        <v>75000.0</v>
      </c>
      <c r="N291" s="15" t="str">
        <f t="array" ref="N291">IFERROR(VLOOKUP(T291,Ref_sheet!$A$1:$B$8,2,FALSE))</f>
        <v/>
      </c>
      <c r="O291" s="12">
        <v>25.0</v>
      </c>
      <c r="P291" s="5" t="s">
        <v>51</v>
      </c>
      <c r="Q291" s="5"/>
      <c r="R291" s="5" t="s">
        <v>41</v>
      </c>
      <c r="S291" s="5"/>
      <c r="T291" s="5" t="s">
        <v>36</v>
      </c>
    </row>
    <row r="292">
      <c r="A292" s="25">
        <v>43866.0</v>
      </c>
      <c r="B292" s="28">
        <v>0.46597222222222223</v>
      </c>
      <c r="C292" s="5" t="s">
        <v>77</v>
      </c>
      <c r="D292" s="29">
        <v>44001.0</v>
      </c>
      <c r="E292" s="5">
        <v>120.0</v>
      </c>
      <c r="F292" s="5" t="s">
        <v>32</v>
      </c>
      <c r="G292" s="5">
        <v>120.14</v>
      </c>
      <c r="H292" s="5">
        <v>461.0</v>
      </c>
      <c r="I292" s="5">
        <v>5.7</v>
      </c>
      <c r="J292" s="5" t="s">
        <v>39</v>
      </c>
      <c r="K292" s="5">
        <v>1097.0</v>
      </c>
      <c r="L292" s="5">
        <v>432.0</v>
      </c>
      <c r="M292" s="30">
        <v>262770.0</v>
      </c>
      <c r="N292" s="15" t="str">
        <f t="array" ref="N292">IFERROR(VLOOKUP(T292,Ref_sheet!$A$1:$B$8,2,FALSE))</f>
        <v/>
      </c>
      <c r="O292" s="12">
        <v>38.0</v>
      </c>
      <c r="P292" s="5" t="s">
        <v>34</v>
      </c>
      <c r="Q292" s="5"/>
      <c r="R292" s="5" t="s">
        <v>35</v>
      </c>
      <c r="S292" s="5"/>
      <c r="T292" s="5" t="s">
        <v>42</v>
      </c>
    </row>
    <row r="293">
      <c r="A293" s="25">
        <v>43866.0</v>
      </c>
      <c r="B293" s="28">
        <v>0.4652777777777778</v>
      </c>
      <c r="C293" s="5" t="s">
        <v>425</v>
      </c>
      <c r="D293" s="29">
        <v>43910.0</v>
      </c>
      <c r="E293" s="5">
        <v>75.0</v>
      </c>
      <c r="F293" s="5" t="s">
        <v>38</v>
      </c>
      <c r="G293" s="5">
        <v>74.42</v>
      </c>
      <c r="H293" s="5">
        <v>1334.0</v>
      </c>
      <c r="I293" s="5">
        <v>2.95</v>
      </c>
      <c r="J293" s="5" t="s">
        <v>48</v>
      </c>
      <c r="K293" s="5">
        <v>1508.0</v>
      </c>
      <c r="L293" s="5">
        <v>7.0</v>
      </c>
      <c r="M293" s="30">
        <v>393530.0</v>
      </c>
      <c r="N293" s="15" t="str">
        <f t="array" ref="N293">IFERROR(VLOOKUP(T293,Ref_sheet!$A$1:$B$8,2,FALSE))</f>
        <v/>
      </c>
      <c r="O293" s="12">
        <v>52.0</v>
      </c>
      <c r="P293" s="5" t="s">
        <v>182</v>
      </c>
      <c r="Q293" s="5"/>
      <c r="R293" s="5" t="s">
        <v>41</v>
      </c>
      <c r="S293" s="5"/>
      <c r="T293" s="5" t="s">
        <v>42</v>
      </c>
    </row>
    <row r="294">
      <c r="A294" s="25">
        <v>43866.0</v>
      </c>
      <c r="B294" s="28">
        <v>0.4652777777777778</v>
      </c>
      <c r="C294" s="5" t="s">
        <v>60</v>
      </c>
      <c r="D294" s="29">
        <v>43875.0</v>
      </c>
      <c r="E294" s="5">
        <v>2050.0</v>
      </c>
      <c r="F294" s="5" t="s">
        <v>38</v>
      </c>
      <c r="G294" s="5">
        <v>2046.25</v>
      </c>
      <c r="H294" s="5">
        <v>300.0</v>
      </c>
      <c r="I294" s="5">
        <v>30.0</v>
      </c>
      <c r="J294" s="5" t="s">
        <v>33</v>
      </c>
      <c r="K294" s="5">
        <v>1330.0</v>
      </c>
      <c r="L294" s="5">
        <v>855.0</v>
      </c>
      <c r="M294" s="30">
        <v>900000.0</v>
      </c>
      <c r="N294" s="15" t="str">
        <f t="array" ref="N294">IFERROR(VLOOKUP(T294,Ref_sheet!$A$1:$B$8,2,FALSE))</f>
        <v/>
      </c>
      <c r="O294" s="12">
        <v>31.0</v>
      </c>
      <c r="P294" s="5" t="s">
        <v>51</v>
      </c>
      <c r="Q294" s="5"/>
      <c r="R294" s="5" t="s">
        <v>41</v>
      </c>
      <c r="S294" s="5"/>
      <c r="T294" s="5" t="s">
        <v>36</v>
      </c>
    </row>
    <row r="295">
      <c r="A295" s="25">
        <v>43866.0</v>
      </c>
      <c r="B295" s="28">
        <v>0.46458333333333335</v>
      </c>
      <c r="C295" s="5" t="s">
        <v>203</v>
      </c>
      <c r="D295" s="29">
        <v>43875.0</v>
      </c>
      <c r="E295" s="5">
        <v>325.0</v>
      </c>
      <c r="F295" s="5" t="s">
        <v>38</v>
      </c>
      <c r="G295" s="5">
        <v>321.53</v>
      </c>
      <c r="H295" s="5">
        <v>505.0</v>
      </c>
      <c r="I295" s="5">
        <v>3.5</v>
      </c>
      <c r="J295" s="5" t="s">
        <v>39</v>
      </c>
      <c r="K295" s="5">
        <v>5041.0</v>
      </c>
      <c r="L295" s="5">
        <v>4419.0</v>
      </c>
      <c r="M295" s="30">
        <v>176750.0</v>
      </c>
      <c r="N295" s="15" t="str">
        <f t="array" ref="N295">IFERROR(VLOOKUP(T295,Ref_sheet!$A$1:$B$8,2,FALSE))</f>
        <v/>
      </c>
      <c r="O295" s="12">
        <v>20.0</v>
      </c>
      <c r="P295" s="5" t="s">
        <v>40</v>
      </c>
      <c r="Q295" s="5"/>
      <c r="R295" s="5" t="s">
        <v>41</v>
      </c>
      <c r="S295" s="5"/>
      <c r="T295" s="5" t="s">
        <v>36</v>
      </c>
    </row>
    <row r="296">
      <c r="A296" s="25">
        <v>43866.0</v>
      </c>
      <c r="B296" s="28">
        <v>0.46458333333333335</v>
      </c>
      <c r="C296" s="5" t="s">
        <v>268</v>
      </c>
      <c r="D296" s="29">
        <v>43868.0</v>
      </c>
      <c r="E296" s="5">
        <v>370.0</v>
      </c>
      <c r="F296" s="5" t="s">
        <v>38</v>
      </c>
      <c r="G296" s="5">
        <v>365.75</v>
      </c>
      <c r="H296" s="5">
        <v>120.0</v>
      </c>
      <c r="I296" s="5">
        <v>3.1</v>
      </c>
      <c r="J296" s="5" t="s">
        <v>39</v>
      </c>
      <c r="K296" s="5">
        <v>3536.0</v>
      </c>
      <c r="L296" s="5">
        <v>2765.0</v>
      </c>
      <c r="M296" s="30">
        <v>37200.0</v>
      </c>
      <c r="N296" s="15" t="str">
        <f t="array" ref="N296">IFERROR(VLOOKUP(T296,Ref_sheet!$A$1:$B$8,2,FALSE))</f>
        <v/>
      </c>
      <c r="O296" s="12">
        <v>14.0</v>
      </c>
      <c r="P296" s="5" t="s">
        <v>51</v>
      </c>
      <c r="Q296" s="5"/>
      <c r="R296" s="5" t="s">
        <v>41</v>
      </c>
      <c r="S296" s="5"/>
      <c r="T296" s="5" t="s">
        <v>36</v>
      </c>
    </row>
    <row r="297">
      <c r="A297" s="25">
        <v>43866.0</v>
      </c>
      <c r="B297" s="28">
        <v>0.46458333333333335</v>
      </c>
      <c r="C297" s="5" t="s">
        <v>204</v>
      </c>
      <c r="D297" s="29">
        <v>43868.0</v>
      </c>
      <c r="E297" s="5">
        <v>17.5</v>
      </c>
      <c r="F297" s="5" t="s">
        <v>32</v>
      </c>
      <c r="G297" s="5">
        <v>17.64</v>
      </c>
      <c r="H297" s="5">
        <v>500.0</v>
      </c>
      <c r="I297" s="5">
        <v>0.25</v>
      </c>
      <c r="J297" s="5" t="s">
        <v>39</v>
      </c>
      <c r="K297" s="5">
        <v>531.0</v>
      </c>
      <c r="L297" s="5">
        <v>49.0</v>
      </c>
      <c r="M297" s="30">
        <v>12500.0</v>
      </c>
      <c r="N297" s="15" t="str">
        <f t="array" ref="N297">IFERROR(VLOOKUP(T297,Ref_sheet!$A$1:$B$8,2,FALSE))</f>
        <v/>
      </c>
      <c r="O297" s="12">
        <v>56.0</v>
      </c>
      <c r="P297" s="5" t="s">
        <v>40</v>
      </c>
      <c r="Q297" s="5"/>
      <c r="R297" s="5" t="s">
        <v>35</v>
      </c>
      <c r="S297" s="5"/>
      <c r="T297" s="5" t="s">
        <v>42</v>
      </c>
    </row>
    <row r="298">
      <c r="A298" s="25">
        <v>43866.0</v>
      </c>
      <c r="B298" s="28">
        <v>0.4638888888888889</v>
      </c>
      <c r="C298" s="5" t="s">
        <v>220</v>
      </c>
      <c r="D298" s="29">
        <v>43875.0</v>
      </c>
      <c r="E298" s="5">
        <v>1000.0</v>
      </c>
      <c r="F298" s="5" t="s">
        <v>38</v>
      </c>
      <c r="G298" s="5">
        <v>769.0</v>
      </c>
      <c r="H298" s="5">
        <v>138.0</v>
      </c>
      <c r="I298" s="5">
        <v>15.0</v>
      </c>
      <c r="J298" s="5" t="s">
        <v>39</v>
      </c>
      <c r="K298" s="5">
        <v>2692.0</v>
      </c>
      <c r="L298" s="5">
        <v>1381.0</v>
      </c>
      <c r="M298" s="30">
        <v>207000.0</v>
      </c>
      <c r="N298" s="15" t="str">
        <f t="array" ref="N298">IFERROR(VLOOKUP(T298,Ref_sheet!$A$1:$B$8,2,FALSE))</f>
        <v/>
      </c>
      <c r="O298" s="12">
        <v>46.0</v>
      </c>
      <c r="P298" s="5" t="s">
        <v>58</v>
      </c>
      <c r="Q298" s="5" t="b">
        <v>1</v>
      </c>
      <c r="R298" s="5" t="s">
        <v>41</v>
      </c>
      <c r="S298" s="5"/>
      <c r="T298" s="5" t="s">
        <v>401</v>
      </c>
    </row>
    <row r="299">
      <c r="A299" s="25">
        <v>43866.0</v>
      </c>
      <c r="B299" s="28">
        <v>0.4638888888888889</v>
      </c>
      <c r="C299" s="5" t="s">
        <v>295</v>
      </c>
      <c r="D299" s="29">
        <v>43966.0</v>
      </c>
      <c r="E299" s="5">
        <v>6.0</v>
      </c>
      <c r="F299" s="5" t="s">
        <v>38</v>
      </c>
      <c r="G299" s="5">
        <v>4.93</v>
      </c>
      <c r="H299" s="5">
        <v>667.0</v>
      </c>
      <c r="I299" s="5">
        <v>0.4</v>
      </c>
      <c r="J299" s="5" t="s">
        <v>39</v>
      </c>
      <c r="K299" s="5">
        <v>667.0</v>
      </c>
      <c r="L299" s="5">
        <v>1022.0</v>
      </c>
      <c r="M299" s="30">
        <v>26680.0</v>
      </c>
      <c r="N299" s="15" t="str">
        <f t="array" ref="N299">IFERROR(VLOOKUP(T299,Ref_sheet!$A$1:$B$8,2,FALSE))</f>
        <v/>
      </c>
      <c r="O299" s="12">
        <v>38.0</v>
      </c>
      <c r="P299" s="5" t="s">
        <v>40</v>
      </c>
      <c r="Q299" s="5"/>
      <c r="R299" s="5" t="s">
        <v>41</v>
      </c>
      <c r="S299" s="5"/>
      <c r="T299" s="5" t="s">
        <v>46</v>
      </c>
    </row>
    <row r="300">
      <c r="A300" s="25">
        <v>43866.0</v>
      </c>
      <c r="B300" s="28">
        <v>0.4625</v>
      </c>
      <c r="C300" s="5" t="s">
        <v>161</v>
      </c>
      <c r="D300" s="29">
        <v>43882.0</v>
      </c>
      <c r="E300" s="5">
        <v>66.0</v>
      </c>
      <c r="F300" s="5" t="s">
        <v>38</v>
      </c>
      <c r="G300" s="5">
        <v>65.61</v>
      </c>
      <c r="H300" s="5">
        <v>1000.0</v>
      </c>
      <c r="I300" s="5">
        <v>1.39</v>
      </c>
      <c r="J300" s="5" t="s">
        <v>48</v>
      </c>
      <c r="K300" s="5">
        <v>1208.0</v>
      </c>
      <c r="L300" s="5">
        <v>2053.0</v>
      </c>
      <c r="M300" s="30">
        <v>139000.0</v>
      </c>
      <c r="N300" s="15" t="str">
        <f t="array" ref="N300">IFERROR(VLOOKUP(T300,Ref_sheet!$A$1:$B$8,2,FALSE))</f>
        <v/>
      </c>
      <c r="O300" s="12">
        <v>41.0</v>
      </c>
      <c r="P300" s="5" t="s">
        <v>53</v>
      </c>
      <c r="Q300" s="5"/>
      <c r="R300" s="5" t="s">
        <v>41</v>
      </c>
      <c r="S300" s="5"/>
      <c r="T300" s="5" t="s">
        <v>46</v>
      </c>
    </row>
    <row r="301">
      <c r="A301" s="25">
        <v>43866.0</v>
      </c>
      <c r="B301" s="28">
        <v>0.4625</v>
      </c>
      <c r="C301" s="5" t="s">
        <v>31</v>
      </c>
      <c r="D301" s="29">
        <v>43868.0</v>
      </c>
      <c r="E301" s="5">
        <v>328.0</v>
      </c>
      <c r="F301" s="5" t="s">
        <v>32</v>
      </c>
      <c r="G301" s="5">
        <v>331.4</v>
      </c>
      <c r="H301" s="5">
        <v>2500.0</v>
      </c>
      <c r="I301" s="5">
        <v>0.59</v>
      </c>
      <c r="J301" s="5" t="s">
        <v>39</v>
      </c>
      <c r="K301" s="5">
        <v>27152.0</v>
      </c>
      <c r="L301" s="5">
        <v>13389.0</v>
      </c>
      <c r="M301" s="30">
        <v>147483.0</v>
      </c>
      <c r="N301" s="15" t="str">
        <f t="array" ref="N301">IFERROR(VLOOKUP(T301,Ref_sheet!$A$1:$B$8,2,FALSE))</f>
        <v/>
      </c>
      <c r="O301" s="12">
        <v>24.0</v>
      </c>
      <c r="P301" s="5" t="s">
        <v>34</v>
      </c>
      <c r="Q301" s="5"/>
      <c r="R301" s="5" t="s">
        <v>35</v>
      </c>
      <c r="S301" s="5"/>
      <c r="T301" s="5" t="s">
        <v>36</v>
      </c>
    </row>
    <row r="302">
      <c r="A302" s="25">
        <v>43866.0</v>
      </c>
      <c r="B302" s="28">
        <v>0.4625</v>
      </c>
      <c r="C302" s="5" t="s">
        <v>133</v>
      </c>
      <c r="D302" s="29">
        <v>43882.0</v>
      </c>
      <c r="E302" s="5">
        <v>13.0</v>
      </c>
      <c r="F302" s="5" t="s">
        <v>38</v>
      </c>
      <c r="G302" s="5">
        <v>12.15</v>
      </c>
      <c r="H302" s="5">
        <v>750.0</v>
      </c>
      <c r="I302" s="5">
        <v>0.45</v>
      </c>
      <c r="J302" s="5" t="s">
        <v>39</v>
      </c>
      <c r="K302" s="5">
        <v>10274.0</v>
      </c>
      <c r="L302" s="5">
        <v>41433.0</v>
      </c>
      <c r="M302" s="30">
        <v>33750.0</v>
      </c>
      <c r="N302" s="15" t="str">
        <f t="array" ref="N302">IFERROR(VLOOKUP(T302,Ref_sheet!$A$1:$B$8,2,FALSE))</f>
        <v/>
      </c>
      <c r="O302" s="12">
        <v>10.0</v>
      </c>
      <c r="P302" s="5" t="s">
        <v>53</v>
      </c>
      <c r="Q302" s="5"/>
      <c r="R302" s="5" t="s">
        <v>41</v>
      </c>
      <c r="S302" s="5"/>
      <c r="T302" s="5" t="s">
        <v>46</v>
      </c>
    </row>
    <row r="303">
      <c r="A303" s="25">
        <v>43866.0</v>
      </c>
      <c r="B303" s="28">
        <v>0.4625</v>
      </c>
      <c r="C303" s="5" t="s">
        <v>109</v>
      </c>
      <c r="D303" s="29">
        <v>44211.0</v>
      </c>
      <c r="E303" s="5">
        <v>17.0</v>
      </c>
      <c r="F303" s="5" t="s">
        <v>32</v>
      </c>
      <c r="G303" s="5">
        <v>20.32</v>
      </c>
      <c r="H303" s="5">
        <v>717.0</v>
      </c>
      <c r="I303" s="5">
        <v>1.4</v>
      </c>
      <c r="J303" s="5" t="s">
        <v>39</v>
      </c>
      <c r="K303" s="5">
        <v>730.0</v>
      </c>
      <c r="L303" s="5">
        <v>4274.0</v>
      </c>
      <c r="M303" s="30">
        <v>100380.0</v>
      </c>
      <c r="N303" s="15" t="str">
        <f t="array" ref="N303">IFERROR(VLOOKUP(T303,Ref_sheet!$A$1:$B$8,2,FALSE))</f>
        <v/>
      </c>
      <c r="O303" s="12">
        <v>28.0</v>
      </c>
      <c r="P303" s="5" t="s">
        <v>40</v>
      </c>
      <c r="Q303" s="5"/>
      <c r="R303" s="5" t="s">
        <v>35</v>
      </c>
      <c r="S303" s="5"/>
      <c r="T303" s="5" t="s">
        <v>46</v>
      </c>
    </row>
    <row r="304">
      <c r="A304" s="25">
        <v>43866.0</v>
      </c>
      <c r="B304" s="28">
        <v>0.4618055555555556</v>
      </c>
      <c r="C304" s="5" t="s">
        <v>62</v>
      </c>
      <c r="D304" s="29">
        <v>43938.0</v>
      </c>
      <c r="E304" s="5">
        <v>185.0</v>
      </c>
      <c r="F304" s="5" t="s">
        <v>38</v>
      </c>
      <c r="G304" s="5">
        <v>179.99</v>
      </c>
      <c r="H304" s="5">
        <v>599.0</v>
      </c>
      <c r="I304" s="5">
        <v>4.95</v>
      </c>
      <c r="J304" s="5" t="s">
        <v>48</v>
      </c>
      <c r="K304" s="5">
        <v>10593.0</v>
      </c>
      <c r="L304" s="5">
        <v>8085.0</v>
      </c>
      <c r="M304" s="30">
        <v>296505.0</v>
      </c>
      <c r="N304" s="15" t="str">
        <f t="array" ref="N304">IFERROR(VLOOKUP(T304,Ref_sheet!$A$1:$B$8,2,FALSE))</f>
        <v/>
      </c>
      <c r="O304" s="12">
        <v>8.0</v>
      </c>
      <c r="P304" s="5" t="s">
        <v>40</v>
      </c>
      <c r="Q304" s="5"/>
      <c r="R304" s="5" t="s">
        <v>41</v>
      </c>
      <c r="S304" s="5"/>
      <c r="T304" s="5" t="s">
        <v>36</v>
      </c>
    </row>
    <row r="305">
      <c r="A305" s="25">
        <v>43866.0</v>
      </c>
      <c r="B305" s="28">
        <v>0.4618055555555556</v>
      </c>
      <c r="C305" s="5" t="s">
        <v>106</v>
      </c>
      <c r="D305" s="29">
        <v>43875.0</v>
      </c>
      <c r="E305" s="5">
        <v>8.0</v>
      </c>
      <c r="F305" s="5" t="s">
        <v>38</v>
      </c>
      <c r="G305" s="5">
        <v>7.73</v>
      </c>
      <c r="H305" s="5">
        <v>994.0</v>
      </c>
      <c r="I305" s="5">
        <v>0.14</v>
      </c>
      <c r="J305" s="5" t="s">
        <v>33</v>
      </c>
      <c r="K305" s="5">
        <v>1140.0</v>
      </c>
      <c r="L305" s="5">
        <v>2374.0</v>
      </c>
      <c r="M305" s="30">
        <v>13916.0</v>
      </c>
      <c r="N305" s="15" t="str">
        <f t="array" ref="N305">IFERROR(VLOOKUP(T305,Ref_sheet!$A$1:$B$8,2,FALSE))</f>
        <v/>
      </c>
      <c r="O305" s="12">
        <v>38.0</v>
      </c>
      <c r="P305" s="5" t="s">
        <v>45</v>
      </c>
      <c r="Q305" s="5"/>
      <c r="R305" s="5" t="s">
        <v>41</v>
      </c>
      <c r="S305" s="5"/>
      <c r="T305" s="5" t="s">
        <v>46</v>
      </c>
    </row>
    <row r="306">
      <c r="A306" s="25">
        <v>43866.0</v>
      </c>
      <c r="B306" s="28">
        <v>0.4597222222222222</v>
      </c>
      <c r="C306" s="5" t="s">
        <v>427</v>
      </c>
      <c r="D306" s="29">
        <v>44211.0</v>
      </c>
      <c r="E306" s="5">
        <v>2.0</v>
      </c>
      <c r="F306" s="5" t="s">
        <v>38</v>
      </c>
      <c r="G306" s="5">
        <v>1.11</v>
      </c>
      <c r="H306" s="5">
        <v>800.0</v>
      </c>
      <c r="I306" s="5">
        <v>0.15</v>
      </c>
      <c r="J306" s="5" t="s">
        <v>33</v>
      </c>
      <c r="K306" s="5">
        <v>1410.0</v>
      </c>
      <c r="L306" s="5">
        <v>42597.0</v>
      </c>
      <c r="M306" s="30">
        <v>12000.0</v>
      </c>
      <c r="N306" s="15" t="str">
        <f t="array" ref="N306">IFERROR(VLOOKUP(T306,Ref_sheet!$A$1:$B$8,2,FALSE))</f>
        <v/>
      </c>
      <c r="O306" s="12">
        <v>14.0</v>
      </c>
      <c r="P306" s="5" t="s">
        <v>45</v>
      </c>
      <c r="Q306" s="5"/>
      <c r="R306" s="5" t="s">
        <v>41</v>
      </c>
      <c r="S306" s="5"/>
      <c r="T306" s="5" t="s">
        <v>46</v>
      </c>
    </row>
    <row r="307">
      <c r="A307" s="25">
        <v>43866.0</v>
      </c>
      <c r="B307" s="28">
        <v>0.4597222222222222</v>
      </c>
      <c r="C307" s="5" t="s">
        <v>31</v>
      </c>
      <c r="D307" s="29">
        <v>43868.0</v>
      </c>
      <c r="E307" s="5">
        <v>328.0</v>
      </c>
      <c r="F307" s="5" t="s">
        <v>32</v>
      </c>
      <c r="G307" s="5">
        <v>331.53</v>
      </c>
      <c r="H307" s="5">
        <v>575.0</v>
      </c>
      <c r="I307" s="5">
        <v>0.54</v>
      </c>
      <c r="J307" s="5" t="s">
        <v>39</v>
      </c>
      <c r="K307" s="5">
        <v>24502.0</v>
      </c>
      <c r="L307" s="5">
        <v>13389.0</v>
      </c>
      <c r="M307" s="30">
        <v>31050.0</v>
      </c>
      <c r="N307" s="15" t="str">
        <f t="array" ref="N307">IFERROR(VLOOKUP(T307,Ref_sheet!$A$1:$B$8,2,FALSE))</f>
        <v/>
      </c>
      <c r="O307" s="12">
        <v>14.0</v>
      </c>
      <c r="P307" s="5" t="s">
        <v>34</v>
      </c>
      <c r="Q307" s="5"/>
      <c r="R307" s="5" t="s">
        <v>35</v>
      </c>
      <c r="S307" s="5"/>
      <c r="T307" s="5" t="s">
        <v>36</v>
      </c>
    </row>
    <row r="308">
      <c r="A308" s="25">
        <v>43866.0</v>
      </c>
      <c r="B308" s="28">
        <v>0.4576388888888889</v>
      </c>
      <c r="C308" s="5" t="s">
        <v>428</v>
      </c>
      <c r="D308" s="29">
        <v>44001.0</v>
      </c>
      <c r="E308" s="5">
        <v>17.5</v>
      </c>
      <c r="F308" s="5" t="s">
        <v>38</v>
      </c>
      <c r="G308" s="5">
        <v>17.26</v>
      </c>
      <c r="H308" s="5">
        <v>581.0</v>
      </c>
      <c r="I308" s="5">
        <v>1.23</v>
      </c>
      <c r="J308" s="5" t="s">
        <v>33</v>
      </c>
      <c r="K308" s="5">
        <v>581.0</v>
      </c>
      <c r="L308" s="5">
        <v>328.0</v>
      </c>
      <c r="M308" s="30">
        <v>71460.0</v>
      </c>
      <c r="N308" s="15" t="str">
        <f t="array" ref="N308">IFERROR(VLOOKUP(T308,Ref_sheet!$A$1:$B$8,2,FALSE))</f>
        <v/>
      </c>
      <c r="O308" s="12">
        <v>48.0</v>
      </c>
      <c r="P308" s="5" t="s">
        <v>182</v>
      </c>
      <c r="Q308" s="5"/>
      <c r="R308" s="5" t="s">
        <v>41</v>
      </c>
      <c r="S308" s="5"/>
      <c r="T308" s="5" t="s">
        <v>42</v>
      </c>
    </row>
    <row r="309">
      <c r="A309" s="25">
        <v>43866.0</v>
      </c>
      <c r="B309" s="28">
        <v>0.4576388888888889</v>
      </c>
      <c r="C309" s="5" t="s">
        <v>405</v>
      </c>
      <c r="D309" s="29">
        <v>43910.0</v>
      </c>
      <c r="E309" s="5">
        <v>60.0</v>
      </c>
      <c r="F309" s="5" t="s">
        <v>32</v>
      </c>
      <c r="G309" s="5">
        <v>58.51</v>
      </c>
      <c r="H309" s="5">
        <v>511.0</v>
      </c>
      <c r="I309" s="5">
        <v>5.7</v>
      </c>
      <c r="J309" s="5" t="s">
        <v>39</v>
      </c>
      <c r="K309" s="5">
        <v>1210.0</v>
      </c>
      <c r="L309" s="5">
        <v>49.0</v>
      </c>
      <c r="M309" s="30">
        <v>291256.0</v>
      </c>
      <c r="N309" s="15" t="str">
        <f t="array" ref="N309">IFERROR(VLOOKUP(T309,Ref_sheet!$A$1:$B$8,2,FALSE))</f>
        <v/>
      </c>
      <c r="O309" s="12">
        <v>42.0</v>
      </c>
      <c r="P309" s="5" t="s">
        <v>40</v>
      </c>
      <c r="Q309" s="5"/>
      <c r="R309" s="5" t="s">
        <v>35</v>
      </c>
      <c r="S309" s="5"/>
      <c r="T309" s="5" t="s">
        <v>42</v>
      </c>
    </row>
    <row r="310">
      <c r="A310" s="25">
        <v>43866.0</v>
      </c>
      <c r="B310" s="28">
        <v>0.4576388888888889</v>
      </c>
      <c r="C310" s="5" t="s">
        <v>122</v>
      </c>
      <c r="D310" s="29">
        <v>43875.0</v>
      </c>
      <c r="E310" s="5">
        <v>35.5</v>
      </c>
      <c r="F310" s="5" t="s">
        <v>38</v>
      </c>
      <c r="G310" s="5">
        <v>34.59</v>
      </c>
      <c r="H310" s="5">
        <v>993.0</v>
      </c>
      <c r="I310" s="5">
        <v>0.16</v>
      </c>
      <c r="J310" s="5" t="s">
        <v>39</v>
      </c>
      <c r="K310" s="5">
        <v>3955.0</v>
      </c>
      <c r="L310" s="5">
        <v>4528.0</v>
      </c>
      <c r="M310" s="30">
        <v>15888.0</v>
      </c>
      <c r="N310" s="15" t="str">
        <f t="array" ref="N310">IFERROR(VLOOKUP(T310,Ref_sheet!$A$1:$B$8,2,FALSE))</f>
        <v/>
      </c>
      <c r="O310" s="12">
        <v>21.0</v>
      </c>
      <c r="P310" s="5" t="s">
        <v>162</v>
      </c>
      <c r="Q310" s="5"/>
      <c r="R310" s="5" t="s">
        <v>41</v>
      </c>
      <c r="S310" s="5"/>
      <c r="T310" s="5" t="s">
        <v>46</v>
      </c>
    </row>
    <row r="311">
      <c r="A311" s="25">
        <v>43866.0</v>
      </c>
      <c r="B311" s="28">
        <v>0.45694444444444443</v>
      </c>
      <c r="C311" s="5" t="s">
        <v>429</v>
      </c>
      <c r="D311" s="29">
        <v>43882.0</v>
      </c>
      <c r="E311" s="5">
        <v>59.5</v>
      </c>
      <c r="F311" s="5" t="s">
        <v>32</v>
      </c>
      <c r="G311" s="5">
        <v>59.56</v>
      </c>
      <c r="H311" s="5">
        <v>3488.0</v>
      </c>
      <c r="I311" s="5">
        <v>0.53</v>
      </c>
      <c r="J311" s="5" t="s">
        <v>48</v>
      </c>
      <c r="K311" s="5">
        <v>3488.0</v>
      </c>
      <c r="L311" s="5">
        <v>1137.0</v>
      </c>
      <c r="M311" s="30">
        <v>184864.0</v>
      </c>
      <c r="N311" s="15" t="str">
        <f t="array" ref="N311">IFERROR(VLOOKUP(T311,Ref_sheet!$A$1:$B$8,2,FALSE))</f>
        <v/>
      </c>
      <c r="O311" s="12">
        <v>58.0</v>
      </c>
      <c r="P311" s="5" t="s">
        <v>34</v>
      </c>
      <c r="Q311" s="5"/>
      <c r="R311" s="5" t="s">
        <v>35</v>
      </c>
      <c r="S311" s="5"/>
      <c r="T311" s="5" t="s">
        <v>42</v>
      </c>
    </row>
    <row r="312">
      <c r="A312" s="25">
        <v>43866.0</v>
      </c>
      <c r="B312" s="28">
        <v>0.45625</v>
      </c>
      <c r="C312" s="5" t="s">
        <v>405</v>
      </c>
      <c r="D312" s="29">
        <v>43910.0</v>
      </c>
      <c r="E312" s="5">
        <v>60.0</v>
      </c>
      <c r="F312" s="5" t="s">
        <v>32</v>
      </c>
      <c r="G312" s="5">
        <v>58.5</v>
      </c>
      <c r="H312" s="5">
        <v>683.0</v>
      </c>
      <c r="I312" s="5">
        <v>5.5</v>
      </c>
      <c r="J312" s="5" t="s">
        <v>39</v>
      </c>
      <c r="K312" s="5">
        <v>699.0</v>
      </c>
      <c r="L312" s="5">
        <v>49.0</v>
      </c>
      <c r="M312" s="30">
        <v>375645.0</v>
      </c>
      <c r="N312" s="15" t="str">
        <f t="array" ref="N312">IFERROR(VLOOKUP(T312,Ref_sheet!$A$1:$B$8,2,FALSE))</f>
        <v/>
      </c>
      <c r="O312" s="12">
        <v>54.0</v>
      </c>
      <c r="P312" s="5" t="s">
        <v>40</v>
      </c>
      <c r="Q312" s="5"/>
      <c r="R312" s="5" t="s">
        <v>35</v>
      </c>
      <c r="S312" s="5"/>
      <c r="T312" s="5" t="s">
        <v>42</v>
      </c>
    </row>
    <row r="313">
      <c r="A313" s="25">
        <v>43866.0</v>
      </c>
      <c r="B313" s="28">
        <v>0.45625</v>
      </c>
      <c r="C313" s="5" t="s">
        <v>329</v>
      </c>
      <c r="D313" s="29">
        <v>43882.0</v>
      </c>
      <c r="E313" s="5">
        <v>28.0</v>
      </c>
      <c r="F313" s="5" t="s">
        <v>32</v>
      </c>
      <c r="G313" s="5">
        <v>28.79</v>
      </c>
      <c r="H313" s="5">
        <v>500.0</v>
      </c>
      <c r="I313" s="5">
        <v>0.57</v>
      </c>
      <c r="J313" s="5" t="s">
        <v>39</v>
      </c>
      <c r="K313" s="5">
        <v>557.0</v>
      </c>
      <c r="L313" s="5">
        <v>5903.0</v>
      </c>
      <c r="M313" s="30">
        <v>28500.0</v>
      </c>
      <c r="N313" s="15" t="str">
        <f t="array" ref="N313">IFERROR(VLOOKUP(T313,Ref_sheet!$A$1:$B$8,2,FALSE))</f>
        <v/>
      </c>
      <c r="O313" s="12">
        <v>28.0</v>
      </c>
      <c r="P313" s="5" t="s">
        <v>51</v>
      </c>
      <c r="Q313" s="5"/>
      <c r="R313" s="5" t="s">
        <v>35</v>
      </c>
      <c r="S313" s="5"/>
      <c r="T313" s="5" t="s">
        <v>46</v>
      </c>
    </row>
    <row r="314">
      <c r="A314" s="25">
        <v>43866.0</v>
      </c>
      <c r="B314" s="28">
        <v>0.45555555555555555</v>
      </c>
      <c r="C314" s="5" t="s">
        <v>430</v>
      </c>
      <c r="D314" s="29">
        <v>43882.0</v>
      </c>
      <c r="E314" s="5">
        <v>40.5</v>
      </c>
      <c r="F314" s="5" t="s">
        <v>38</v>
      </c>
      <c r="G314" s="5">
        <v>40.35</v>
      </c>
      <c r="H314" s="5">
        <v>5908.0</v>
      </c>
      <c r="I314" s="5">
        <v>0.37</v>
      </c>
      <c r="J314" s="5" t="s">
        <v>39</v>
      </c>
      <c r="K314" s="5">
        <v>5908.0</v>
      </c>
      <c r="L314" s="5">
        <v>3.0</v>
      </c>
      <c r="M314" s="30">
        <v>220356.0</v>
      </c>
      <c r="N314" s="15" t="str">
        <f t="array" ref="N314">IFERROR(VLOOKUP(T314,Ref_sheet!$A$1:$B$8,2,FALSE))</f>
        <v/>
      </c>
      <c r="O314" s="12">
        <v>60.0</v>
      </c>
      <c r="P314" s="5" t="s">
        <v>34</v>
      </c>
      <c r="Q314" s="5"/>
      <c r="R314" s="5" t="s">
        <v>41</v>
      </c>
      <c r="S314" s="5"/>
      <c r="T314" s="5" t="s">
        <v>42</v>
      </c>
    </row>
    <row r="315">
      <c r="A315" s="25">
        <v>43866.0</v>
      </c>
      <c r="B315" s="28">
        <v>0.45555555555555555</v>
      </c>
      <c r="C315" s="5" t="s">
        <v>328</v>
      </c>
      <c r="D315" s="29">
        <v>43868.0</v>
      </c>
      <c r="E315" s="5">
        <v>315.0</v>
      </c>
      <c r="F315" s="5" t="s">
        <v>32</v>
      </c>
      <c r="G315" s="5">
        <v>320.27</v>
      </c>
      <c r="H315" s="5">
        <v>348.0</v>
      </c>
      <c r="I315" s="5">
        <v>1.83</v>
      </c>
      <c r="J315" s="5" t="s">
        <v>39</v>
      </c>
      <c r="K315" s="5">
        <v>2387.0</v>
      </c>
      <c r="L315" s="5">
        <v>2267.0</v>
      </c>
      <c r="M315" s="30">
        <v>63670.0</v>
      </c>
      <c r="N315" s="15" t="str">
        <f t="array" ref="N315">IFERROR(VLOOKUP(T315,Ref_sheet!$A$1:$B$8,2,FALSE))</f>
        <v/>
      </c>
      <c r="O315" s="12">
        <v>22.0</v>
      </c>
      <c r="P315" s="5" t="s">
        <v>182</v>
      </c>
      <c r="Q315" s="5"/>
      <c r="R315" s="5" t="s">
        <v>35</v>
      </c>
      <c r="S315" s="5"/>
      <c r="T315" s="5" t="s">
        <v>36</v>
      </c>
    </row>
    <row r="316">
      <c r="A316" s="25">
        <v>43866.0</v>
      </c>
      <c r="B316" s="28">
        <v>0.45555555555555555</v>
      </c>
      <c r="C316" s="5" t="s">
        <v>328</v>
      </c>
      <c r="D316" s="29">
        <v>43868.0</v>
      </c>
      <c r="E316" s="5">
        <v>310.0</v>
      </c>
      <c r="F316" s="5" t="s">
        <v>32</v>
      </c>
      <c r="G316" s="5">
        <v>319.8</v>
      </c>
      <c r="H316" s="5">
        <v>297.0</v>
      </c>
      <c r="I316" s="5">
        <v>1.0</v>
      </c>
      <c r="J316" s="5" t="s">
        <v>39</v>
      </c>
      <c r="K316" s="5">
        <v>1231.0</v>
      </c>
      <c r="L316" s="5">
        <v>1773.0</v>
      </c>
      <c r="M316" s="30">
        <v>29700.0</v>
      </c>
      <c r="N316" s="15" t="str">
        <f t="array" ref="N316">IFERROR(VLOOKUP(T316,Ref_sheet!$A$1:$B$8,2,FALSE))</f>
        <v/>
      </c>
      <c r="O316" s="12">
        <v>22.0</v>
      </c>
      <c r="P316" s="5" t="s">
        <v>182</v>
      </c>
      <c r="Q316" s="5"/>
      <c r="R316" s="5" t="s">
        <v>35</v>
      </c>
      <c r="S316" s="5"/>
      <c r="T316" s="5" t="s">
        <v>46</v>
      </c>
    </row>
    <row r="317">
      <c r="A317" s="25">
        <v>43866.0</v>
      </c>
      <c r="B317" s="28">
        <v>0.4548611111111111</v>
      </c>
      <c r="C317" s="5" t="s">
        <v>328</v>
      </c>
      <c r="D317" s="29">
        <v>43868.0</v>
      </c>
      <c r="E317" s="5">
        <v>315.0</v>
      </c>
      <c r="F317" s="5" t="s">
        <v>32</v>
      </c>
      <c r="G317" s="5">
        <v>320.08</v>
      </c>
      <c r="H317" s="5">
        <v>515.0</v>
      </c>
      <c r="I317" s="5">
        <v>1.87</v>
      </c>
      <c r="J317" s="5" t="s">
        <v>39</v>
      </c>
      <c r="K317" s="5">
        <v>1859.0</v>
      </c>
      <c r="L317" s="5">
        <v>2267.0</v>
      </c>
      <c r="M317" s="30">
        <v>96095.0</v>
      </c>
      <c r="N317" s="15" t="str">
        <f t="array" ref="N317">IFERROR(VLOOKUP(T317,Ref_sheet!$A$1:$B$8,2,FALSE))</f>
        <v/>
      </c>
      <c r="O317" s="12">
        <v>26.0</v>
      </c>
      <c r="P317" s="5" t="s">
        <v>182</v>
      </c>
      <c r="Q317" s="5"/>
      <c r="R317" s="5" t="s">
        <v>35</v>
      </c>
      <c r="S317" s="5"/>
      <c r="T317" s="5" t="s">
        <v>46</v>
      </c>
    </row>
    <row r="318">
      <c r="A318" s="25">
        <v>43866.0</v>
      </c>
      <c r="B318" s="28">
        <v>0.4548611111111111</v>
      </c>
      <c r="C318" s="5" t="s">
        <v>328</v>
      </c>
      <c r="D318" s="29">
        <v>43868.0</v>
      </c>
      <c r="E318" s="5">
        <v>312.5</v>
      </c>
      <c r="F318" s="5" t="s">
        <v>32</v>
      </c>
      <c r="G318" s="5">
        <v>319.44</v>
      </c>
      <c r="H318" s="5">
        <v>568.0</v>
      </c>
      <c r="I318" s="5">
        <v>1.29</v>
      </c>
      <c r="J318" s="5" t="s">
        <v>39</v>
      </c>
      <c r="K318" s="5">
        <v>1635.0</v>
      </c>
      <c r="L318" s="5">
        <v>999.0</v>
      </c>
      <c r="M318" s="30">
        <v>73402.0</v>
      </c>
      <c r="N318" s="15" t="str">
        <f t="array" ref="N318">IFERROR(VLOOKUP(T318,Ref_sheet!$A$1:$B$8,2,FALSE))</f>
        <v/>
      </c>
      <c r="O318" s="12">
        <v>36.0</v>
      </c>
      <c r="P318" s="5" t="s">
        <v>182</v>
      </c>
      <c r="Q318" s="5"/>
      <c r="R318" s="5" t="s">
        <v>35</v>
      </c>
      <c r="S318" s="5"/>
      <c r="T318" s="5" t="s">
        <v>36</v>
      </c>
    </row>
    <row r="319">
      <c r="A319" s="25">
        <v>43866.0</v>
      </c>
      <c r="B319" s="28">
        <v>0.4548611111111111</v>
      </c>
      <c r="C319" s="5" t="s">
        <v>328</v>
      </c>
      <c r="D319" s="29">
        <v>43896.0</v>
      </c>
      <c r="E319" s="5">
        <v>297.5</v>
      </c>
      <c r="F319" s="5" t="s">
        <v>32</v>
      </c>
      <c r="G319" s="5">
        <v>319.43</v>
      </c>
      <c r="H319" s="5">
        <v>348.0</v>
      </c>
      <c r="I319" s="5">
        <v>3.09</v>
      </c>
      <c r="J319" s="5" t="s">
        <v>39</v>
      </c>
      <c r="K319" s="5">
        <v>348.0</v>
      </c>
      <c r="L319" s="5">
        <v>278.0</v>
      </c>
      <c r="M319" s="30">
        <v>107583.0</v>
      </c>
      <c r="N319" s="15" t="str">
        <f t="array" ref="N319">IFERROR(VLOOKUP(T319,Ref_sheet!$A$1:$B$8,2,FALSE))</f>
        <v/>
      </c>
      <c r="O319" s="12">
        <v>55.0</v>
      </c>
      <c r="P319" s="5" t="s">
        <v>182</v>
      </c>
      <c r="Q319" s="5"/>
      <c r="R319" s="5" t="s">
        <v>35</v>
      </c>
      <c r="S319" s="5"/>
      <c r="T319" s="5" t="s">
        <v>42</v>
      </c>
    </row>
    <row r="320">
      <c r="A320" s="25">
        <v>43866.0</v>
      </c>
      <c r="B320" s="28">
        <v>0.45416666666666666</v>
      </c>
      <c r="C320" s="5" t="s">
        <v>431</v>
      </c>
      <c r="D320" s="29">
        <v>43910.0</v>
      </c>
      <c r="E320" s="5">
        <v>140.0</v>
      </c>
      <c r="F320" s="5" t="s">
        <v>32</v>
      </c>
      <c r="G320" s="5">
        <v>148.32</v>
      </c>
      <c r="H320" s="5">
        <v>778.0</v>
      </c>
      <c r="I320" s="5">
        <v>3.22</v>
      </c>
      <c r="J320" s="5" t="s">
        <v>33</v>
      </c>
      <c r="K320" s="5">
        <v>1641.0</v>
      </c>
      <c r="L320" s="5">
        <v>226.0</v>
      </c>
      <c r="M320" s="30">
        <v>250812.0</v>
      </c>
      <c r="N320" s="15" t="str">
        <f t="array" ref="N320">IFERROR(VLOOKUP(T320,Ref_sheet!$A$1:$B$8,2,FALSE))</f>
        <v/>
      </c>
      <c r="O320" s="12">
        <v>43.0</v>
      </c>
      <c r="P320" s="5" t="s">
        <v>51</v>
      </c>
      <c r="Q320" s="5"/>
      <c r="R320" s="5" t="s">
        <v>35</v>
      </c>
      <c r="S320" s="5"/>
      <c r="T320" s="5" t="s">
        <v>42</v>
      </c>
    </row>
    <row r="321">
      <c r="A321" s="25">
        <v>43866.0</v>
      </c>
      <c r="B321" s="28">
        <v>0.45416666666666666</v>
      </c>
      <c r="C321" s="5" t="s">
        <v>431</v>
      </c>
      <c r="D321" s="29">
        <v>43910.0</v>
      </c>
      <c r="E321" s="5">
        <v>140.0</v>
      </c>
      <c r="F321" s="5" t="s">
        <v>32</v>
      </c>
      <c r="G321" s="5">
        <v>148.34</v>
      </c>
      <c r="H321" s="5">
        <v>833.0</v>
      </c>
      <c r="I321" s="5">
        <v>3.2</v>
      </c>
      <c r="J321" s="5" t="s">
        <v>39</v>
      </c>
      <c r="K321" s="5">
        <v>845.0</v>
      </c>
      <c r="L321" s="5">
        <v>226.0</v>
      </c>
      <c r="M321" s="30">
        <v>266555.0</v>
      </c>
      <c r="N321" s="15" t="str">
        <f t="array" ref="N321">IFERROR(VLOOKUP(T321,Ref_sheet!$A$1:$B$8,2,FALSE))</f>
        <v/>
      </c>
      <c r="O321" s="12">
        <v>54.0</v>
      </c>
      <c r="P321" s="5" t="s">
        <v>51</v>
      </c>
      <c r="Q321" s="5"/>
      <c r="R321" s="5" t="s">
        <v>35</v>
      </c>
      <c r="S321" s="5"/>
      <c r="T321" s="5" t="s">
        <v>42</v>
      </c>
    </row>
    <row r="322">
      <c r="A322" s="25">
        <v>43866.0</v>
      </c>
      <c r="B322" s="28">
        <v>0.45416666666666666</v>
      </c>
      <c r="C322" s="5" t="s">
        <v>432</v>
      </c>
      <c r="D322" s="29">
        <v>43910.0</v>
      </c>
      <c r="E322" s="5">
        <v>5.0</v>
      </c>
      <c r="F322" s="5" t="s">
        <v>38</v>
      </c>
      <c r="G322" s="5">
        <v>3.89</v>
      </c>
      <c r="H322" s="5">
        <v>611.0</v>
      </c>
      <c r="I322" s="5">
        <v>0.95</v>
      </c>
      <c r="J322" s="5" t="s">
        <v>39</v>
      </c>
      <c r="K322" s="5">
        <v>2125.0</v>
      </c>
      <c r="L322" s="5">
        <v>2923.0</v>
      </c>
      <c r="M322" s="30">
        <v>58036.0</v>
      </c>
      <c r="N322" s="15" t="str">
        <f t="array" ref="N322">IFERROR(VLOOKUP(T322,Ref_sheet!$A$1:$B$8,2,FALSE))</f>
        <v/>
      </c>
      <c r="O322" s="12">
        <v>16.0</v>
      </c>
      <c r="P322" s="5" t="s">
        <v>40</v>
      </c>
      <c r="Q322" s="5"/>
      <c r="R322" s="5" t="s">
        <v>41</v>
      </c>
      <c r="S322" s="5"/>
      <c r="T322" s="5" t="s">
        <v>46</v>
      </c>
    </row>
    <row r="323">
      <c r="A323" s="25">
        <v>43866.0</v>
      </c>
      <c r="B323" s="28">
        <v>0.45416666666666666</v>
      </c>
      <c r="C323" s="5" t="s">
        <v>432</v>
      </c>
      <c r="D323" s="29">
        <v>43910.0</v>
      </c>
      <c r="E323" s="5">
        <v>5.0</v>
      </c>
      <c r="F323" s="5" t="s">
        <v>38</v>
      </c>
      <c r="G323" s="5">
        <v>3.88</v>
      </c>
      <c r="H323" s="5">
        <v>930.0</v>
      </c>
      <c r="I323" s="5">
        <v>0.9</v>
      </c>
      <c r="J323" s="5" t="s">
        <v>39</v>
      </c>
      <c r="K323" s="5">
        <v>1480.0</v>
      </c>
      <c r="L323" s="5">
        <v>2923.0</v>
      </c>
      <c r="M323" s="30">
        <v>83676.0</v>
      </c>
      <c r="N323" s="15" t="str">
        <f t="array" ref="N323">IFERROR(VLOOKUP(T323,Ref_sheet!$A$1:$B$8,2,FALSE))</f>
        <v/>
      </c>
      <c r="O323" s="12">
        <v>26.0</v>
      </c>
      <c r="P323" s="5" t="s">
        <v>40</v>
      </c>
      <c r="Q323" s="5"/>
      <c r="R323" s="5" t="s">
        <v>41</v>
      </c>
      <c r="S323" s="5"/>
      <c r="T323" s="5" t="s">
        <v>46</v>
      </c>
    </row>
    <row r="324">
      <c r="A324" s="25">
        <v>43866.0</v>
      </c>
      <c r="B324" s="28">
        <v>0.45416666666666666</v>
      </c>
      <c r="C324" s="5" t="s">
        <v>56</v>
      </c>
      <c r="D324" s="29">
        <v>43921.0</v>
      </c>
      <c r="E324" s="5">
        <v>55.0</v>
      </c>
      <c r="F324" s="5" t="s">
        <v>38</v>
      </c>
      <c r="G324" s="5">
        <v>54.63</v>
      </c>
      <c r="H324" s="5">
        <v>6000.0</v>
      </c>
      <c r="I324" s="5">
        <v>1.5</v>
      </c>
      <c r="J324" s="5" t="s">
        <v>48</v>
      </c>
      <c r="K324" s="5">
        <v>10038.0</v>
      </c>
      <c r="L324" s="5">
        <v>301.0</v>
      </c>
      <c r="M324" s="30">
        <v>900000.0</v>
      </c>
      <c r="N324" s="15" t="str">
        <f t="array" ref="N324">IFERROR(VLOOKUP(T324,Ref_sheet!$A$1:$B$8,2,FALSE))</f>
        <v/>
      </c>
      <c r="O324" s="12">
        <v>46.0</v>
      </c>
      <c r="P324" s="5" t="s">
        <v>34</v>
      </c>
      <c r="Q324" s="5"/>
      <c r="R324" s="5" t="s">
        <v>41</v>
      </c>
      <c r="S324" s="5"/>
      <c r="T324" s="5" t="s">
        <v>42</v>
      </c>
    </row>
    <row r="325">
      <c r="A325" s="25">
        <v>43866.0</v>
      </c>
      <c r="B325" s="28">
        <v>0.4527777777777778</v>
      </c>
      <c r="C325" s="5" t="s">
        <v>433</v>
      </c>
      <c r="D325" s="29">
        <v>43910.0</v>
      </c>
      <c r="E325" s="5">
        <v>100.0</v>
      </c>
      <c r="F325" s="5" t="s">
        <v>38</v>
      </c>
      <c r="G325" s="5">
        <v>85.82</v>
      </c>
      <c r="H325" s="5">
        <v>500.0</v>
      </c>
      <c r="I325" s="5">
        <v>3.3</v>
      </c>
      <c r="J325" s="5" t="s">
        <v>48</v>
      </c>
      <c r="K325" s="5">
        <v>505.0</v>
      </c>
      <c r="L325" s="5">
        <v>543.0</v>
      </c>
      <c r="M325" s="30">
        <v>165000.0</v>
      </c>
      <c r="N325" s="15" t="str">
        <f t="array" ref="N325">IFERROR(VLOOKUP(T325,Ref_sheet!$A$1:$B$8,2,FALSE))</f>
        <v/>
      </c>
      <c r="O325" s="12">
        <v>50.0</v>
      </c>
      <c r="P325" s="5" t="s">
        <v>51</v>
      </c>
      <c r="Q325" s="5"/>
      <c r="R325" s="5" t="s">
        <v>41</v>
      </c>
      <c r="S325" s="5"/>
      <c r="T325" s="5" t="s">
        <v>46</v>
      </c>
    </row>
    <row r="326">
      <c r="A326" s="25">
        <v>43866.0</v>
      </c>
      <c r="B326" s="28">
        <v>0.45208333333333334</v>
      </c>
      <c r="C326" s="5" t="s">
        <v>231</v>
      </c>
      <c r="D326" s="29">
        <v>43938.0</v>
      </c>
      <c r="E326" s="5">
        <v>40.0</v>
      </c>
      <c r="F326" s="5" t="s">
        <v>38</v>
      </c>
      <c r="G326" s="5">
        <v>36.71</v>
      </c>
      <c r="H326" s="5">
        <v>588.0</v>
      </c>
      <c r="I326" s="5">
        <v>0.79</v>
      </c>
      <c r="J326" s="5" t="s">
        <v>39</v>
      </c>
      <c r="K326" s="5">
        <v>776.0</v>
      </c>
      <c r="L326" s="5">
        <v>1419.0</v>
      </c>
      <c r="M326" s="30">
        <v>46352.0</v>
      </c>
      <c r="N326" s="15" t="str">
        <f t="array" ref="N326">IFERROR(VLOOKUP(T326,Ref_sheet!$A$1:$B$8,2,FALSE))</f>
        <v/>
      </c>
      <c r="O326" s="12">
        <v>28.0</v>
      </c>
      <c r="P326" s="5" t="s">
        <v>51</v>
      </c>
      <c r="Q326" s="5"/>
      <c r="R326" s="5" t="s">
        <v>41</v>
      </c>
      <c r="S326" s="5"/>
      <c r="T326" s="5" t="s">
        <v>46</v>
      </c>
    </row>
    <row r="327">
      <c r="A327" s="25">
        <v>43866.0</v>
      </c>
      <c r="B327" s="28">
        <v>0.45208333333333334</v>
      </c>
      <c r="C327" s="5" t="s">
        <v>50</v>
      </c>
      <c r="D327" s="29">
        <v>43868.0</v>
      </c>
      <c r="E327" s="5">
        <v>30.5</v>
      </c>
      <c r="F327" s="5" t="s">
        <v>32</v>
      </c>
      <c r="G327" s="5">
        <v>34.77</v>
      </c>
      <c r="H327" s="5">
        <v>967.0</v>
      </c>
      <c r="I327" s="5">
        <v>0.55</v>
      </c>
      <c r="J327" s="5" t="s">
        <v>39</v>
      </c>
      <c r="K327" s="5">
        <v>1037.0</v>
      </c>
      <c r="L327" s="5">
        <v>724.0</v>
      </c>
      <c r="M327" s="30">
        <v>53185.0</v>
      </c>
      <c r="N327" s="15" t="str">
        <f t="array" ref="N327">IFERROR(VLOOKUP(T327,Ref_sheet!$A$1:$B$8,2,FALSE))</f>
        <v/>
      </c>
      <c r="O327" s="12">
        <v>59.0</v>
      </c>
      <c r="P327" s="5" t="s">
        <v>51</v>
      </c>
      <c r="Q327" s="5"/>
      <c r="R327" s="5" t="s">
        <v>35</v>
      </c>
      <c r="S327" s="5"/>
      <c r="T327" s="5" t="s">
        <v>42</v>
      </c>
    </row>
    <row r="328">
      <c r="A328" s="25">
        <v>43866.0</v>
      </c>
      <c r="B328" s="28">
        <v>0.4513888888888889</v>
      </c>
      <c r="C328" s="5" t="s">
        <v>434</v>
      </c>
      <c r="D328" s="29">
        <v>43910.0</v>
      </c>
      <c r="E328" s="5">
        <v>1.5</v>
      </c>
      <c r="F328" s="5" t="s">
        <v>32</v>
      </c>
      <c r="G328" s="5">
        <v>1.74</v>
      </c>
      <c r="H328" s="5">
        <v>846.0</v>
      </c>
      <c r="I328" s="5">
        <v>0.14</v>
      </c>
      <c r="J328" s="5" t="s">
        <v>39</v>
      </c>
      <c r="K328" s="5">
        <v>878.0</v>
      </c>
      <c r="L328" s="5">
        <v>143581.0</v>
      </c>
      <c r="M328" s="30">
        <v>12208.0</v>
      </c>
      <c r="N328" s="15" t="str">
        <f t="array" ref="N328">IFERROR(VLOOKUP(T328,Ref_sheet!$A$1:$B$8,2,FALSE))</f>
        <v/>
      </c>
      <c r="O328" s="12">
        <v>23.0</v>
      </c>
      <c r="P328" s="5" t="s">
        <v>64</v>
      </c>
      <c r="Q328" s="5"/>
      <c r="R328" s="5" t="s">
        <v>35</v>
      </c>
      <c r="S328" s="5"/>
      <c r="T328" s="5" t="s">
        <v>46</v>
      </c>
    </row>
    <row r="329">
      <c r="A329" s="25">
        <v>43866.0</v>
      </c>
      <c r="B329" s="28">
        <v>0.45069444444444445</v>
      </c>
      <c r="C329" s="5" t="s">
        <v>122</v>
      </c>
      <c r="D329" s="29">
        <v>43868.0</v>
      </c>
      <c r="E329" s="5">
        <v>35.0</v>
      </c>
      <c r="F329" s="5" t="s">
        <v>38</v>
      </c>
      <c r="G329" s="5">
        <v>34.51</v>
      </c>
      <c r="H329" s="5">
        <v>887.0</v>
      </c>
      <c r="I329" s="5">
        <v>0.13</v>
      </c>
      <c r="J329" s="5" t="s">
        <v>39</v>
      </c>
      <c r="K329" s="5">
        <v>25595.0</v>
      </c>
      <c r="L329" s="5">
        <v>4589.0</v>
      </c>
      <c r="M329" s="30">
        <v>11531.0</v>
      </c>
      <c r="N329" s="15" t="str">
        <f t="array" ref="N329">IFERROR(VLOOKUP(T329,Ref_sheet!$A$1:$B$8,2,FALSE))</f>
        <v/>
      </c>
      <c r="O329" s="12">
        <v>18.0</v>
      </c>
      <c r="P329" s="5" t="s">
        <v>162</v>
      </c>
      <c r="Q329" s="5"/>
      <c r="R329" s="5" t="s">
        <v>41</v>
      </c>
      <c r="S329" s="5"/>
      <c r="T329" s="5" t="s">
        <v>36</v>
      </c>
    </row>
    <row r="330">
      <c r="A330" s="25">
        <v>43866.0</v>
      </c>
      <c r="B330" s="28">
        <v>0.45</v>
      </c>
      <c r="C330" s="5" t="s">
        <v>60</v>
      </c>
      <c r="D330" s="29">
        <v>43882.0</v>
      </c>
      <c r="E330" s="5">
        <v>2100.0</v>
      </c>
      <c r="F330" s="5" t="s">
        <v>38</v>
      </c>
      <c r="G330" s="5">
        <v>2036.0</v>
      </c>
      <c r="H330" s="5">
        <v>100.0</v>
      </c>
      <c r="I330" s="5">
        <v>16.4</v>
      </c>
      <c r="J330" s="5" t="s">
        <v>48</v>
      </c>
      <c r="K330" s="5">
        <v>1510.0</v>
      </c>
      <c r="L330" s="5">
        <v>4139.0</v>
      </c>
      <c r="M330" s="30">
        <v>163999.0</v>
      </c>
      <c r="N330" s="15" t="str">
        <f t="array" ref="N330">IFERROR(VLOOKUP(T330,Ref_sheet!$A$1:$B$8,2,FALSE))</f>
        <v/>
      </c>
      <c r="O330" s="12">
        <v>15.0</v>
      </c>
      <c r="P330" s="5" t="s">
        <v>51</v>
      </c>
      <c r="Q330" s="5"/>
      <c r="R330" s="5" t="s">
        <v>41</v>
      </c>
      <c r="S330" s="5"/>
      <c r="T330" s="5" t="s">
        <v>46</v>
      </c>
    </row>
    <row r="331">
      <c r="A331" s="25">
        <v>43866.0</v>
      </c>
      <c r="B331" s="28">
        <v>0.45</v>
      </c>
      <c r="C331" s="5" t="s">
        <v>434</v>
      </c>
      <c r="D331" s="29">
        <v>44582.0</v>
      </c>
      <c r="E331" s="5">
        <v>2.0</v>
      </c>
      <c r="F331" s="5" t="s">
        <v>38</v>
      </c>
      <c r="G331" s="5">
        <v>1.74</v>
      </c>
      <c r="H331" s="5">
        <v>571.0</v>
      </c>
      <c r="I331" s="5">
        <v>0.76</v>
      </c>
      <c r="J331" s="5" t="s">
        <v>39</v>
      </c>
      <c r="K331" s="5">
        <v>571.0</v>
      </c>
      <c r="L331" s="5">
        <v>311.0</v>
      </c>
      <c r="M331" s="30">
        <v>43363.0</v>
      </c>
      <c r="N331" s="15" t="str">
        <f t="array" ref="N331">IFERROR(VLOOKUP(T331,Ref_sheet!$A$1:$B$8,2,FALSE))</f>
        <v/>
      </c>
      <c r="O331" s="12">
        <v>47.0</v>
      </c>
      <c r="P331" s="5" t="s">
        <v>64</v>
      </c>
      <c r="Q331" s="5"/>
      <c r="R331" s="5" t="s">
        <v>41</v>
      </c>
      <c r="S331" s="5"/>
      <c r="T331" s="5" t="s">
        <v>42</v>
      </c>
    </row>
    <row r="332">
      <c r="A332" s="25">
        <v>43866.0</v>
      </c>
      <c r="B332" s="28">
        <v>0.44930555555555557</v>
      </c>
      <c r="C332" s="5" t="s">
        <v>50</v>
      </c>
      <c r="D332" s="29">
        <v>43868.0</v>
      </c>
      <c r="E332" s="5">
        <v>32.0</v>
      </c>
      <c r="F332" s="5" t="s">
        <v>32</v>
      </c>
      <c r="G332" s="5">
        <v>35.4</v>
      </c>
      <c r="H332" s="5">
        <v>500.0</v>
      </c>
      <c r="I332" s="5">
        <v>0.7</v>
      </c>
      <c r="J332" s="5" t="s">
        <v>39</v>
      </c>
      <c r="K332" s="5">
        <v>818.0</v>
      </c>
      <c r="L332" s="5">
        <v>1853.0</v>
      </c>
      <c r="M332" s="30">
        <v>35000.0</v>
      </c>
      <c r="N332" s="15" t="str">
        <f t="array" ref="N332">IFERROR(VLOOKUP(T332,Ref_sheet!$A$1:$B$8,2,FALSE))</f>
        <v/>
      </c>
      <c r="O332" s="12">
        <v>31.0</v>
      </c>
      <c r="P332" s="5" t="s">
        <v>51</v>
      </c>
      <c r="Q332" s="5"/>
      <c r="R332" s="5" t="s">
        <v>35</v>
      </c>
      <c r="S332" s="5"/>
      <c r="T332" s="5" t="s">
        <v>46</v>
      </c>
    </row>
    <row r="333">
      <c r="A333" s="25">
        <v>43866.0</v>
      </c>
      <c r="B333" s="28">
        <v>0.4486111111111111</v>
      </c>
      <c r="C333" s="5" t="s">
        <v>418</v>
      </c>
      <c r="D333" s="29">
        <v>43868.0</v>
      </c>
      <c r="E333" s="5">
        <v>495.0</v>
      </c>
      <c r="F333" s="5" t="s">
        <v>38</v>
      </c>
      <c r="G333" s="5">
        <v>472.89</v>
      </c>
      <c r="H333" s="5">
        <v>300.0</v>
      </c>
      <c r="I333" s="5">
        <v>1.55</v>
      </c>
      <c r="J333" s="5" t="s">
        <v>39</v>
      </c>
      <c r="K333" s="5">
        <v>524.0</v>
      </c>
      <c r="L333" s="5">
        <v>1328.0</v>
      </c>
      <c r="M333" s="30">
        <v>46470.0</v>
      </c>
      <c r="N333" s="15" t="str">
        <f t="array" ref="N333">IFERROR(VLOOKUP(T333,Ref_sheet!$A$1:$B$8,2,FALSE))</f>
        <v/>
      </c>
      <c r="O333" s="12">
        <v>30.0</v>
      </c>
      <c r="P333" s="5" t="s">
        <v>40</v>
      </c>
      <c r="Q333" s="5"/>
      <c r="R333" s="5" t="s">
        <v>41</v>
      </c>
      <c r="S333" s="5"/>
      <c r="T333" s="5" t="s">
        <v>46</v>
      </c>
    </row>
    <row r="334">
      <c r="A334" s="25">
        <v>43866.0</v>
      </c>
      <c r="B334" s="28">
        <v>0.4486111111111111</v>
      </c>
      <c r="C334" s="5" t="s">
        <v>31</v>
      </c>
      <c r="D334" s="29">
        <v>43896.0</v>
      </c>
      <c r="E334" s="5">
        <v>340.0</v>
      </c>
      <c r="F334" s="5" t="s">
        <v>38</v>
      </c>
      <c r="G334" s="5">
        <v>331.07</v>
      </c>
      <c r="H334" s="5">
        <v>2108.0</v>
      </c>
      <c r="I334" s="5">
        <v>1.37</v>
      </c>
      <c r="J334" s="5" t="s">
        <v>39</v>
      </c>
      <c r="K334" s="5">
        <v>2302.0</v>
      </c>
      <c r="L334" s="5">
        <v>451.0</v>
      </c>
      <c r="M334" s="30">
        <v>288796.0</v>
      </c>
      <c r="N334" s="15" t="str">
        <f t="array" ref="N334">IFERROR(VLOOKUP(T334,Ref_sheet!$A$1:$B$8,2,FALSE))</f>
        <v/>
      </c>
      <c r="O334" s="12">
        <v>56.0</v>
      </c>
      <c r="P334" s="5" t="s">
        <v>34</v>
      </c>
      <c r="Q334" s="5"/>
      <c r="R334" s="5" t="s">
        <v>41</v>
      </c>
      <c r="S334" s="5"/>
      <c r="T334" s="5" t="s">
        <v>42</v>
      </c>
    </row>
    <row r="335">
      <c r="A335" s="25">
        <v>43866.0</v>
      </c>
      <c r="B335" s="28">
        <v>0.4486111111111111</v>
      </c>
      <c r="C335" s="5" t="s">
        <v>62</v>
      </c>
      <c r="D335" s="29">
        <v>43938.0</v>
      </c>
      <c r="E335" s="5">
        <v>185.0</v>
      </c>
      <c r="F335" s="5" t="s">
        <v>38</v>
      </c>
      <c r="G335" s="5">
        <v>180.27</v>
      </c>
      <c r="H335" s="5">
        <v>825.0</v>
      </c>
      <c r="I335" s="5">
        <v>5.14</v>
      </c>
      <c r="J335" s="5" t="s">
        <v>39</v>
      </c>
      <c r="K335" s="5">
        <v>7536.0</v>
      </c>
      <c r="L335" s="5">
        <v>8085.0</v>
      </c>
      <c r="M335" s="30">
        <v>423969.0</v>
      </c>
      <c r="N335" s="15" t="str">
        <f t="array" ref="N335">IFERROR(VLOOKUP(T335,Ref_sheet!$A$1:$B$8,2,FALSE))</f>
        <v/>
      </c>
      <c r="O335" s="12">
        <v>10.0</v>
      </c>
      <c r="P335" s="5" t="s">
        <v>40</v>
      </c>
      <c r="Q335" s="5"/>
      <c r="R335" s="5" t="s">
        <v>41</v>
      </c>
      <c r="S335" s="5"/>
      <c r="T335" s="5" t="s">
        <v>46</v>
      </c>
    </row>
    <row r="336">
      <c r="A336" s="25">
        <v>43866.0</v>
      </c>
      <c r="B336" s="28">
        <v>0.4486111111111111</v>
      </c>
      <c r="C336" s="5" t="s">
        <v>62</v>
      </c>
      <c r="D336" s="29">
        <v>43938.0</v>
      </c>
      <c r="E336" s="5">
        <v>190.0</v>
      </c>
      <c r="F336" s="5" t="s">
        <v>38</v>
      </c>
      <c r="G336" s="5">
        <v>180.19</v>
      </c>
      <c r="H336" s="5">
        <v>974.0</v>
      </c>
      <c r="I336" s="5">
        <v>3.1</v>
      </c>
      <c r="J336" s="5" t="s">
        <v>48</v>
      </c>
      <c r="K336" s="5">
        <v>4584.0</v>
      </c>
      <c r="L336" s="5">
        <v>18777.0</v>
      </c>
      <c r="M336" s="30">
        <v>301940.0</v>
      </c>
      <c r="N336" s="15" t="str">
        <f t="array" ref="N336">IFERROR(VLOOKUP(T336,Ref_sheet!$A$1:$B$8,2,FALSE))</f>
        <v/>
      </c>
      <c r="O336" s="12">
        <v>11.0</v>
      </c>
      <c r="P336" s="5" t="s">
        <v>40</v>
      </c>
      <c r="Q336" s="5"/>
      <c r="R336" s="5" t="s">
        <v>41</v>
      </c>
      <c r="S336" s="5"/>
      <c r="T336" s="5" t="s">
        <v>46</v>
      </c>
    </row>
    <row r="337">
      <c r="A337" s="25">
        <v>43866.0</v>
      </c>
      <c r="B337" s="28">
        <v>0.4486111111111111</v>
      </c>
      <c r="C337" s="5" t="s">
        <v>435</v>
      </c>
      <c r="D337" s="29">
        <v>43868.0</v>
      </c>
      <c r="E337" s="5">
        <v>167.5</v>
      </c>
      <c r="F337" s="5" t="s">
        <v>32</v>
      </c>
      <c r="G337" s="5">
        <v>167.21</v>
      </c>
      <c r="H337" s="5">
        <v>500.0</v>
      </c>
      <c r="I337" s="5">
        <v>1.6</v>
      </c>
      <c r="J337" s="5" t="s">
        <v>48</v>
      </c>
      <c r="K337" s="5">
        <v>567.0</v>
      </c>
      <c r="L337" s="5">
        <v>93.0</v>
      </c>
      <c r="M337" s="30">
        <v>80000.0</v>
      </c>
      <c r="N337" s="15" t="str">
        <f t="array" ref="N337">IFERROR(VLOOKUP(T337,Ref_sheet!$A$1:$B$8,2,FALSE))</f>
        <v/>
      </c>
      <c r="O337" s="12">
        <v>58.0</v>
      </c>
      <c r="P337" s="5" t="s">
        <v>182</v>
      </c>
      <c r="Q337" s="5"/>
      <c r="R337" s="5" t="s">
        <v>35</v>
      </c>
      <c r="S337" s="5"/>
      <c r="T337" s="5" t="s">
        <v>42</v>
      </c>
    </row>
    <row r="338">
      <c r="A338" s="25">
        <v>43866.0</v>
      </c>
      <c r="B338" s="28">
        <v>0.4486111111111111</v>
      </c>
      <c r="C338" s="5" t="s">
        <v>436</v>
      </c>
      <c r="D338" s="29">
        <v>43910.0</v>
      </c>
      <c r="E338" s="5">
        <v>20.0</v>
      </c>
      <c r="F338" s="5" t="s">
        <v>32</v>
      </c>
      <c r="G338" s="5">
        <v>22.87</v>
      </c>
      <c r="H338" s="5">
        <v>999.0</v>
      </c>
      <c r="I338" s="5">
        <v>0.9</v>
      </c>
      <c r="J338" s="5" t="s">
        <v>39</v>
      </c>
      <c r="K338" s="5">
        <v>1011.0</v>
      </c>
      <c r="L338" s="5">
        <v>413.0</v>
      </c>
      <c r="M338" s="30">
        <v>89910.0</v>
      </c>
      <c r="N338" s="15" t="str">
        <f t="array" ref="N338">IFERROR(VLOOKUP(T338,Ref_sheet!$A$1:$B$8,2,FALSE))</f>
        <v/>
      </c>
      <c r="O338" s="12">
        <v>50.0</v>
      </c>
      <c r="P338" s="5" t="s">
        <v>40</v>
      </c>
      <c r="Q338" s="5"/>
      <c r="R338" s="5" t="s">
        <v>35</v>
      </c>
      <c r="S338" s="5"/>
      <c r="T338" s="5" t="s">
        <v>42</v>
      </c>
    </row>
    <row r="339">
      <c r="A339" s="25">
        <v>43866.0</v>
      </c>
      <c r="B339" s="28">
        <v>0.4479166666666667</v>
      </c>
      <c r="C339" s="5" t="s">
        <v>424</v>
      </c>
      <c r="D339" s="29">
        <v>43882.0</v>
      </c>
      <c r="E339" s="5">
        <v>35.0</v>
      </c>
      <c r="F339" s="5" t="s">
        <v>38</v>
      </c>
      <c r="G339" s="5">
        <v>33.83</v>
      </c>
      <c r="H339" s="5">
        <v>500.0</v>
      </c>
      <c r="I339" s="5">
        <v>0.75</v>
      </c>
      <c r="J339" s="5" t="s">
        <v>48</v>
      </c>
      <c r="K339" s="5">
        <v>2655.0</v>
      </c>
      <c r="L339" s="5">
        <v>2603.0</v>
      </c>
      <c r="M339" s="30">
        <v>37500.0</v>
      </c>
      <c r="N339" s="15" t="str">
        <f t="array" ref="N339">IFERROR(VLOOKUP(T339,Ref_sheet!$A$1:$B$8,2,FALSE))</f>
        <v/>
      </c>
      <c r="O339" s="12">
        <v>16.0</v>
      </c>
      <c r="P339" s="5" t="s">
        <v>51</v>
      </c>
      <c r="Q339" s="5"/>
      <c r="R339" s="5" t="s">
        <v>41</v>
      </c>
      <c r="S339" s="5"/>
      <c r="T339" s="5" t="s">
        <v>36</v>
      </c>
    </row>
    <row r="340">
      <c r="A340" s="25">
        <v>43866.0</v>
      </c>
      <c r="B340" s="28">
        <v>0.44722222222222224</v>
      </c>
      <c r="C340" s="5" t="s">
        <v>424</v>
      </c>
      <c r="D340" s="29">
        <v>43910.0</v>
      </c>
      <c r="E340" s="5">
        <v>34.0</v>
      </c>
      <c r="F340" s="5" t="s">
        <v>38</v>
      </c>
      <c r="G340" s="5">
        <v>33.75</v>
      </c>
      <c r="H340" s="5">
        <v>1395.0</v>
      </c>
      <c r="I340" s="5">
        <v>2.3</v>
      </c>
      <c r="J340" s="5" t="s">
        <v>39</v>
      </c>
      <c r="K340" s="5">
        <v>2936.0</v>
      </c>
      <c r="L340" s="5">
        <v>521.0</v>
      </c>
      <c r="M340" s="30">
        <v>320798.0</v>
      </c>
      <c r="N340" s="15" t="str">
        <f t="array" ref="N340">IFERROR(VLOOKUP(T340,Ref_sheet!$A$1:$B$8,2,FALSE))</f>
        <v/>
      </c>
      <c r="O340" s="12">
        <v>44.0</v>
      </c>
      <c r="P340" s="5" t="s">
        <v>51</v>
      </c>
      <c r="Q340" s="5"/>
      <c r="R340" s="5" t="s">
        <v>41</v>
      </c>
      <c r="S340" s="5"/>
      <c r="T340" s="5" t="s">
        <v>42</v>
      </c>
    </row>
    <row r="341">
      <c r="A341" s="25">
        <v>43866.0</v>
      </c>
      <c r="B341" s="28">
        <v>0.44722222222222224</v>
      </c>
      <c r="C341" s="5" t="s">
        <v>203</v>
      </c>
      <c r="D341" s="29">
        <v>43875.0</v>
      </c>
      <c r="E341" s="5">
        <v>310.0</v>
      </c>
      <c r="F341" s="5" t="s">
        <v>32</v>
      </c>
      <c r="G341" s="5">
        <v>319.6</v>
      </c>
      <c r="H341" s="5">
        <v>500.0</v>
      </c>
      <c r="I341" s="5">
        <v>2.4</v>
      </c>
      <c r="J341" s="5" t="s">
        <v>39</v>
      </c>
      <c r="K341" s="5">
        <v>1920.0</v>
      </c>
      <c r="L341" s="5">
        <v>2598.0</v>
      </c>
      <c r="M341" s="30">
        <v>120000.0</v>
      </c>
      <c r="N341" s="15" t="str">
        <f t="array" ref="N341">IFERROR(VLOOKUP(T341,Ref_sheet!$A$1:$B$8,2,FALSE))</f>
        <v/>
      </c>
      <c r="O341" s="12">
        <v>25.0</v>
      </c>
      <c r="P341" s="5" t="s">
        <v>40</v>
      </c>
      <c r="Q341" s="5"/>
      <c r="R341" s="5" t="s">
        <v>35</v>
      </c>
      <c r="S341" s="5"/>
      <c r="T341" s="5" t="s">
        <v>46</v>
      </c>
    </row>
    <row r="342">
      <c r="A342" s="25">
        <v>43866.0</v>
      </c>
      <c r="B342" s="28">
        <v>0.44722222222222224</v>
      </c>
      <c r="C342" s="5" t="s">
        <v>424</v>
      </c>
      <c r="D342" s="29">
        <v>43910.0</v>
      </c>
      <c r="E342" s="5">
        <v>34.0</v>
      </c>
      <c r="F342" s="5" t="s">
        <v>38</v>
      </c>
      <c r="G342" s="5">
        <v>33.75</v>
      </c>
      <c r="H342" s="5">
        <v>501.0</v>
      </c>
      <c r="I342" s="5">
        <v>2.3</v>
      </c>
      <c r="J342" s="5" t="s">
        <v>48</v>
      </c>
      <c r="K342" s="5">
        <v>2439.0</v>
      </c>
      <c r="L342" s="5">
        <v>521.0</v>
      </c>
      <c r="M342" s="30">
        <v>115230.0</v>
      </c>
      <c r="N342" s="15" t="str">
        <f t="array" ref="N342">IFERROR(VLOOKUP(T342,Ref_sheet!$A$1:$B$8,2,FALSE))</f>
        <v/>
      </c>
      <c r="O342" s="12">
        <v>35.0</v>
      </c>
      <c r="P342" s="5" t="s">
        <v>51</v>
      </c>
      <c r="Q342" s="5"/>
      <c r="R342" s="5" t="s">
        <v>41</v>
      </c>
      <c r="S342" s="5"/>
      <c r="T342" s="5" t="s">
        <v>36</v>
      </c>
    </row>
    <row r="343">
      <c r="A343" s="25">
        <v>43866.0</v>
      </c>
      <c r="B343" s="28">
        <v>0.44722222222222224</v>
      </c>
      <c r="C343" s="5" t="s">
        <v>122</v>
      </c>
      <c r="D343" s="29">
        <v>43875.0</v>
      </c>
      <c r="E343" s="5">
        <v>34.0</v>
      </c>
      <c r="F343" s="5" t="s">
        <v>38</v>
      </c>
      <c r="G343" s="5">
        <v>34.48</v>
      </c>
      <c r="H343" s="5">
        <v>500.0</v>
      </c>
      <c r="I343" s="5">
        <v>0.82</v>
      </c>
      <c r="J343" s="5" t="s">
        <v>48</v>
      </c>
      <c r="K343" s="5">
        <v>4206.0</v>
      </c>
      <c r="L343" s="5">
        <v>2310.0</v>
      </c>
      <c r="M343" s="30">
        <v>41000.0</v>
      </c>
      <c r="N343" s="15" t="str">
        <f t="array" ref="N343">IFERROR(VLOOKUP(T343,Ref_sheet!$A$1:$B$8,2,FALSE))</f>
        <v/>
      </c>
      <c r="O343" s="12">
        <v>18.0</v>
      </c>
      <c r="P343" s="5" t="s">
        <v>162</v>
      </c>
      <c r="Q343" s="5"/>
      <c r="R343" s="5" t="s">
        <v>41</v>
      </c>
      <c r="S343" s="5"/>
      <c r="T343" s="5" t="s">
        <v>36</v>
      </c>
    </row>
    <row r="344">
      <c r="A344" s="25">
        <v>43866.0</v>
      </c>
      <c r="B344" s="28">
        <v>0.44513888888888886</v>
      </c>
      <c r="C344" s="5" t="s">
        <v>31</v>
      </c>
      <c r="D344" s="29">
        <v>43868.0</v>
      </c>
      <c r="E344" s="5">
        <v>328.0</v>
      </c>
      <c r="F344" s="5" t="s">
        <v>32</v>
      </c>
      <c r="G344" s="5">
        <v>330.68</v>
      </c>
      <c r="H344" s="5">
        <v>563.0</v>
      </c>
      <c r="I344" s="5">
        <v>0.8</v>
      </c>
      <c r="J344" s="5" t="s">
        <v>39</v>
      </c>
      <c r="K344" s="5">
        <v>14903.0</v>
      </c>
      <c r="L344" s="5">
        <v>13389.0</v>
      </c>
      <c r="M344" s="30">
        <v>45040.0</v>
      </c>
      <c r="N344" s="15" t="str">
        <f t="array" ref="N344">IFERROR(VLOOKUP(T344,Ref_sheet!$A$1:$B$8,2,FALSE))</f>
        <v/>
      </c>
      <c r="O344" s="12">
        <v>14.0</v>
      </c>
      <c r="P344" s="5" t="s">
        <v>34</v>
      </c>
      <c r="Q344" s="5"/>
      <c r="R344" s="5" t="s">
        <v>35</v>
      </c>
      <c r="S344" s="5"/>
      <c r="T344" s="5" t="s">
        <v>36</v>
      </c>
    </row>
    <row r="345">
      <c r="A345" s="25">
        <v>43866.0</v>
      </c>
      <c r="B345" s="28">
        <v>0.44513888888888886</v>
      </c>
      <c r="C345" s="5" t="s">
        <v>437</v>
      </c>
      <c r="D345" s="29">
        <v>43938.0</v>
      </c>
      <c r="E345" s="5">
        <v>33.0</v>
      </c>
      <c r="F345" s="5" t="s">
        <v>32</v>
      </c>
      <c r="G345" s="5">
        <v>35.21</v>
      </c>
      <c r="H345" s="5">
        <v>500.0</v>
      </c>
      <c r="I345" s="5">
        <v>2.05</v>
      </c>
      <c r="J345" s="5" t="s">
        <v>48</v>
      </c>
      <c r="K345" s="5">
        <v>518.0</v>
      </c>
      <c r="L345" s="5">
        <v>7891.0</v>
      </c>
      <c r="M345" s="30">
        <v>102500.0</v>
      </c>
      <c r="N345" s="15" t="str">
        <f t="array" ref="N345">IFERROR(VLOOKUP(T345,Ref_sheet!$A$1:$B$8,2,FALSE))</f>
        <v/>
      </c>
      <c r="O345" s="12">
        <v>25.0</v>
      </c>
      <c r="P345" s="5" t="s">
        <v>51</v>
      </c>
      <c r="Q345" s="5"/>
      <c r="R345" s="5" t="s">
        <v>35</v>
      </c>
      <c r="S345" s="5"/>
      <c r="T345" s="5" t="s">
        <v>46</v>
      </c>
    </row>
    <row r="346">
      <c r="A346" s="25">
        <v>43866.0</v>
      </c>
      <c r="B346" s="28">
        <v>0.44513888888888886</v>
      </c>
      <c r="C346" s="5" t="s">
        <v>49</v>
      </c>
      <c r="D346" s="29">
        <v>43882.0</v>
      </c>
      <c r="E346" s="5">
        <v>225.5</v>
      </c>
      <c r="F346" s="5" t="s">
        <v>32</v>
      </c>
      <c r="G346" s="5">
        <v>226.98</v>
      </c>
      <c r="H346" s="5">
        <v>908.0</v>
      </c>
      <c r="I346" s="5">
        <v>2.63</v>
      </c>
      <c r="J346" s="5" t="s">
        <v>39</v>
      </c>
      <c r="K346" s="5">
        <v>3296.0</v>
      </c>
      <c r="L346" s="5">
        <v>0.0</v>
      </c>
      <c r="M346" s="30">
        <v>238747.0</v>
      </c>
      <c r="N346" s="15" t="str">
        <f t="array" ref="N346">IFERROR(VLOOKUP(T346,Ref_sheet!$A$1:$B$8,2,FALSE))</f>
        <v/>
      </c>
      <c r="O346" s="12">
        <v>46.0</v>
      </c>
      <c r="P346" s="5" t="s">
        <v>34</v>
      </c>
      <c r="Q346" s="5"/>
      <c r="R346" s="5" t="s">
        <v>35</v>
      </c>
      <c r="S346" s="5"/>
      <c r="T346" s="5" t="s">
        <v>42</v>
      </c>
    </row>
    <row r="347">
      <c r="A347" s="25">
        <v>43866.0</v>
      </c>
      <c r="B347" s="28">
        <v>0.44375</v>
      </c>
      <c r="C347" s="5" t="s">
        <v>419</v>
      </c>
      <c r="D347" s="29">
        <v>43882.0</v>
      </c>
      <c r="E347" s="5">
        <v>140.0</v>
      </c>
      <c r="F347" s="5" t="s">
        <v>32</v>
      </c>
      <c r="G347" s="5">
        <v>137.38</v>
      </c>
      <c r="H347" s="5">
        <v>400.0</v>
      </c>
      <c r="I347" s="5">
        <v>9.1</v>
      </c>
      <c r="J347" s="5" t="s">
        <v>39</v>
      </c>
      <c r="K347" s="5">
        <v>420.0</v>
      </c>
      <c r="L347" s="5">
        <v>152.0</v>
      </c>
      <c r="M347" s="30">
        <v>364000.0</v>
      </c>
      <c r="N347" s="15" t="str">
        <f t="array" ref="N347">IFERROR(VLOOKUP(T347,Ref_sheet!$A$1:$B$8,2,FALSE))</f>
        <v/>
      </c>
      <c r="O347" s="12">
        <v>59.0</v>
      </c>
      <c r="P347" s="5" t="s">
        <v>40</v>
      </c>
      <c r="Q347" s="5"/>
      <c r="R347" s="5" t="s">
        <v>35</v>
      </c>
      <c r="S347" s="5"/>
      <c r="T347" s="5" t="s">
        <v>42</v>
      </c>
    </row>
    <row r="348">
      <c r="A348" s="25">
        <v>43866.0</v>
      </c>
      <c r="B348" s="28">
        <v>0.44375</v>
      </c>
      <c r="C348" s="5" t="s">
        <v>189</v>
      </c>
      <c r="D348" s="29">
        <v>43910.0</v>
      </c>
      <c r="E348" s="5">
        <v>102.0</v>
      </c>
      <c r="F348" s="5" t="s">
        <v>32</v>
      </c>
      <c r="G348" s="5">
        <v>102.86</v>
      </c>
      <c r="H348" s="5">
        <v>3092.0</v>
      </c>
      <c r="I348" s="5">
        <v>1.68</v>
      </c>
      <c r="J348" s="5" t="s">
        <v>39</v>
      </c>
      <c r="K348" s="5">
        <v>3112.0</v>
      </c>
      <c r="L348" s="5">
        <v>2153.0</v>
      </c>
      <c r="M348" s="30">
        <v>520659.0</v>
      </c>
      <c r="N348" s="15" t="str">
        <f t="array" ref="N348">IFERROR(VLOOKUP(T348,Ref_sheet!$A$1:$B$8,2,FALSE))</f>
        <v/>
      </c>
      <c r="O348" s="12">
        <v>54.0</v>
      </c>
      <c r="P348" s="5" t="s">
        <v>34</v>
      </c>
      <c r="Q348" s="5"/>
      <c r="R348" s="5" t="s">
        <v>35</v>
      </c>
      <c r="S348" s="5"/>
      <c r="T348" s="5" t="s">
        <v>42</v>
      </c>
    </row>
    <row r="349">
      <c r="A349" s="25">
        <v>43866.0</v>
      </c>
      <c r="B349" s="28">
        <v>0.44375</v>
      </c>
      <c r="C349" s="5" t="s">
        <v>49</v>
      </c>
      <c r="D349" s="29">
        <v>43882.0</v>
      </c>
      <c r="E349" s="5">
        <v>225.5</v>
      </c>
      <c r="F349" s="5" t="s">
        <v>32</v>
      </c>
      <c r="G349" s="5">
        <v>227.19</v>
      </c>
      <c r="H349" s="5">
        <v>2000.0</v>
      </c>
      <c r="I349" s="5">
        <v>2.52</v>
      </c>
      <c r="J349" s="5" t="s">
        <v>39</v>
      </c>
      <c r="K349" s="5">
        <v>2146.0</v>
      </c>
      <c r="L349" s="5">
        <v>0.0</v>
      </c>
      <c r="M349" s="30">
        <v>502933.0</v>
      </c>
      <c r="N349" s="15" t="str">
        <f t="array" ref="N349">IFERROR(VLOOKUP(T349,Ref_sheet!$A$1:$B$8,2,FALSE))</f>
        <v/>
      </c>
      <c r="O349" s="12">
        <v>59.0</v>
      </c>
      <c r="P349" s="5" t="s">
        <v>34</v>
      </c>
      <c r="Q349" s="5"/>
      <c r="R349" s="5" t="s">
        <v>35</v>
      </c>
      <c r="S349" s="5"/>
      <c r="T349" s="5" t="s">
        <v>42</v>
      </c>
    </row>
    <row r="350">
      <c r="A350" s="25">
        <v>43866.0</v>
      </c>
      <c r="B350" s="28">
        <v>0.44305555555555554</v>
      </c>
      <c r="C350" s="5" t="s">
        <v>62</v>
      </c>
      <c r="D350" s="29">
        <v>43868.0</v>
      </c>
      <c r="E350" s="5">
        <v>185.0</v>
      </c>
      <c r="F350" s="5" t="s">
        <v>38</v>
      </c>
      <c r="G350" s="5">
        <v>180.62</v>
      </c>
      <c r="H350" s="5">
        <v>500.0</v>
      </c>
      <c r="I350" s="5">
        <v>0.54</v>
      </c>
      <c r="J350" s="5" t="s">
        <v>39</v>
      </c>
      <c r="K350" s="5">
        <v>10737.0</v>
      </c>
      <c r="L350" s="5">
        <v>3003.0</v>
      </c>
      <c r="M350" s="30">
        <v>27000.0</v>
      </c>
      <c r="N350" s="15" t="str">
        <f t="array" ref="N350">IFERROR(VLOOKUP(T350,Ref_sheet!$A$1:$B$8,2,FALSE))</f>
        <v/>
      </c>
      <c r="O350" s="12">
        <v>18.0</v>
      </c>
      <c r="P350" s="5" t="s">
        <v>40</v>
      </c>
      <c r="Q350" s="5"/>
      <c r="R350" s="5" t="s">
        <v>41</v>
      </c>
      <c r="S350" s="5"/>
      <c r="T350" s="5" t="s">
        <v>36</v>
      </c>
    </row>
    <row r="351">
      <c r="A351" s="25">
        <v>43866.0</v>
      </c>
      <c r="B351" s="28">
        <v>0.44305555555555554</v>
      </c>
      <c r="C351" s="5" t="s">
        <v>62</v>
      </c>
      <c r="D351" s="29">
        <v>43868.0</v>
      </c>
      <c r="E351" s="5">
        <v>185.0</v>
      </c>
      <c r="F351" s="5" t="s">
        <v>38</v>
      </c>
      <c r="G351" s="5">
        <v>180.67</v>
      </c>
      <c r="H351" s="5">
        <v>500.0</v>
      </c>
      <c r="I351" s="5">
        <v>0.55</v>
      </c>
      <c r="J351" s="5" t="s">
        <v>39</v>
      </c>
      <c r="K351" s="5">
        <v>10235.0</v>
      </c>
      <c r="L351" s="5">
        <v>3003.0</v>
      </c>
      <c r="M351" s="30">
        <v>27706.0</v>
      </c>
      <c r="N351" s="15" t="str">
        <f t="array" ref="N351">IFERROR(VLOOKUP(T351,Ref_sheet!$A$1:$B$8,2,FALSE))</f>
        <v/>
      </c>
      <c r="O351" s="12">
        <v>18.0</v>
      </c>
      <c r="P351" s="5" t="s">
        <v>40</v>
      </c>
      <c r="Q351" s="5"/>
      <c r="R351" s="5" t="s">
        <v>41</v>
      </c>
      <c r="S351" s="5"/>
      <c r="T351" s="5" t="s">
        <v>36</v>
      </c>
    </row>
    <row r="352">
      <c r="A352" s="25">
        <v>43866.0</v>
      </c>
      <c r="B352" s="28">
        <v>0.44305555555555554</v>
      </c>
      <c r="C352" s="5" t="s">
        <v>281</v>
      </c>
      <c r="D352" s="29">
        <v>43875.0</v>
      </c>
      <c r="E352" s="5">
        <v>53.0</v>
      </c>
      <c r="F352" s="5" t="s">
        <v>32</v>
      </c>
      <c r="G352" s="5">
        <v>54.99</v>
      </c>
      <c r="H352" s="5">
        <v>1311.0</v>
      </c>
      <c r="I352" s="5">
        <v>0.51</v>
      </c>
      <c r="J352" s="5" t="s">
        <v>39</v>
      </c>
      <c r="K352" s="5">
        <v>1970.0</v>
      </c>
      <c r="L352" s="5">
        <v>2463.0</v>
      </c>
      <c r="M352" s="30">
        <v>66980.0</v>
      </c>
      <c r="N352" s="15" t="str">
        <f t="array" ref="N352">IFERROR(VLOOKUP(T352,Ref_sheet!$A$1:$B$8,2,FALSE))</f>
        <v/>
      </c>
      <c r="O352" s="12">
        <v>39.0</v>
      </c>
      <c r="P352" s="5" t="s">
        <v>64</v>
      </c>
      <c r="Q352" s="5"/>
      <c r="R352" s="5" t="s">
        <v>35</v>
      </c>
      <c r="S352" s="5"/>
      <c r="T352" s="5" t="s">
        <v>46</v>
      </c>
    </row>
    <row r="353">
      <c r="A353" s="25">
        <v>43866.0</v>
      </c>
      <c r="B353" s="28">
        <v>0.4423611111111111</v>
      </c>
      <c r="C353" s="5" t="s">
        <v>43</v>
      </c>
      <c r="D353" s="29">
        <v>43882.0</v>
      </c>
      <c r="E353" s="5">
        <v>20.0</v>
      </c>
      <c r="F353" s="5" t="s">
        <v>38</v>
      </c>
      <c r="G353" s="5">
        <v>19.91</v>
      </c>
      <c r="H353" s="5">
        <v>2513.0</v>
      </c>
      <c r="I353" s="5">
        <v>0.55</v>
      </c>
      <c r="J353" s="5" t="s">
        <v>39</v>
      </c>
      <c r="K353" s="5">
        <v>3502.0</v>
      </c>
      <c r="L353" s="5">
        <v>17942.0</v>
      </c>
      <c r="M353" s="30">
        <v>137781.0</v>
      </c>
      <c r="N353" s="15" t="str">
        <f t="array" ref="N353">IFERROR(VLOOKUP(T353,Ref_sheet!$A$1:$B$8,2,FALSE))</f>
        <v/>
      </c>
      <c r="O353" s="12">
        <v>30.0</v>
      </c>
      <c r="P353" s="5" t="s">
        <v>34</v>
      </c>
      <c r="Q353" s="5"/>
      <c r="R353" s="5" t="s">
        <v>41</v>
      </c>
      <c r="S353" s="5"/>
      <c r="T353" s="5" t="s">
        <v>46</v>
      </c>
    </row>
    <row r="354">
      <c r="A354" s="25">
        <v>43866.0</v>
      </c>
      <c r="B354" s="28">
        <v>0.4423611111111111</v>
      </c>
      <c r="C354" s="5" t="s">
        <v>219</v>
      </c>
      <c r="D354" s="29">
        <v>43966.0</v>
      </c>
      <c r="E354" s="5">
        <v>47.0</v>
      </c>
      <c r="F354" s="5" t="s">
        <v>38</v>
      </c>
      <c r="G354" s="5">
        <v>49.62</v>
      </c>
      <c r="H354" s="5">
        <v>1013.0</v>
      </c>
      <c r="I354" s="5">
        <v>6.47</v>
      </c>
      <c r="J354" s="5" t="s">
        <v>39</v>
      </c>
      <c r="K354" s="5">
        <v>2300.0</v>
      </c>
      <c r="L354" s="5">
        <v>2391.0</v>
      </c>
      <c r="M354" s="30">
        <v>655820.0</v>
      </c>
      <c r="N354" s="15" t="str">
        <f t="array" ref="N354">IFERROR(VLOOKUP(T354,Ref_sheet!$A$1:$B$8,2,FALSE))</f>
        <v/>
      </c>
      <c r="O354" s="12">
        <v>24.0</v>
      </c>
      <c r="P354" s="5" t="s">
        <v>40</v>
      </c>
      <c r="Q354" s="5"/>
      <c r="R354" s="5" t="s">
        <v>41</v>
      </c>
      <c r="S354" s="5"/>
      <c r="T354" s="5" t="s">
        <v>46</v>
      </c>
    </row>
    <row r="355">
      <c r="A355" s="25">
        <v>43866.0</v>
      </c>
      <c r="B355" s="28">
        <v>0.4409722222222222</v>
      </c>
      <c r="C355" s="5" t="s">
        <v>415</v>
      </c>
      <c r="D355" s="29">
        <v>43868.0</v>
      </c>
      <c r="E355" s="5">
        <v>215.0</v>
      </c>
      <c r="F355" s="5" t="s">
        <v>32</v>
      </c>
      <c r="G355" s="5">
        <v>218.56</v>
      </c>
      <c r="H355" s="5">
        <v>1024.0</v>
      </c>
      <c r="I355" s="5">
        <v>1.51</v>
      </c>
      <c r="J355" s="5" t="s">
        <v>48</v>
      </c>
      <c r="K355" s="5">
        <v>3320.0</v>
      </c>
      <c r="L355" s="5">
        <v>5124.0</v>
      </c>
      <c r="M355" s="30">
        <v>154624.0</v>
      </c>
      <c r="N355" s="15" t="str">
        <f t="array" ref="N355">IFERROR(VLOOKUP(T355,Ref_sheet!$A$1:$B$8,2,FALSE))</f>
        <v/>
      </c>
      <c r="O355" s="12">
        <v>29.0</v>
      </c>
      <c r="P355" s="5" t="s">
        <v>51</v>
      </c>
      <c r="Q355" s="5"/>
      <c r="R355" s="5" t="s">
        <v>35</v>
      </c>
      <c r="S355" s="5"/>
      <c r="T355" s="5" t="s">
        <v>46</v>
      </c>
    </row>
    <row r="356">
      <c r="A356" s="25">
        <v>43866.0</v>
      </c>
      <c r="B356" s="28">
        <v>0.4388888888888889</v>
      </c>
      <c r="C356" s="5" t="s">
        <v>437</v>
      </c>
      <c r="D356" s="29">
        <v>43938.0</v>
      </c>
      <c r="E356" s="5">
        <v>34.0</v>
      </c>
      <c r="F356" s="5" t="s">
        <v>38</v>
      </c>
      <c r="G356" s="5">
        <v>35.37</v>
      </c>
      <c r="H356" s="5">
        <v>1000.0</v>
      </c>
      <c r="I356" s="5">
        <v>4.0</v>
      </c>
      <c r="J356" s="5" t="s">
        <v>39</v>
      </c>
      <c r="K356" s="5">
        <v>1001.0</v>
      </c>
      <c r="L356" s="5">
        <v>2203.0</v>
      </c>
      <c r="M356" s="30">
        <v>400000.0</v>
      </c>
      <c r="N356" s="15" t="str">
        <f t="array" ref="N356">IFERROR(VLOOKUP(T356,Ref_sheet!$A$1:$B$8,2,FALSE))</f>
        <v/>
      </c>
      <c r="O356" s="12">
        <v>36.0</v>
      </c>
      <c r="P356" s="5" t="s">
        <v>51</v>
      </c>
      <c r="Q356" s="5"/>
      <c r="R356" s="5" t="s">
        <v>41</v>
      </c>
      <c r="S356" s="5"/>
      <c r="T356" s="5" t="s">
        <v>46</v>
      </c>
    </row>
    <row r="357">
      <c r="A357" s="25">
        <v>43866.0</v>
      </c>
      <c r="B357" s="28">
        <v>0.4375</v>
      </c>
      <c r="C357" s="5" t="s">
        <v>432</v>
      </c>
      <c r="D357" s="29">
        <v>43910.0</v>
      </c>
      <c r="E357" s="5">
        <v>4.0</v>
      </c>
      <c r="F357" s="5" t="s">
        <v>38</v>
      </c>
      <c r="G357" s="5">
        <v>4.02</v>
      </c>
      <c r="H357" s="5">
        <v>700.0</v>
      </c>
      <c r="I357" s="5">
        <v>1.25</v>
      </c>
      <c r="J357" s="5" t="s">
        <v>48</v>
      </c>
      <c r="K357" s="5">
        <v>1466.0</v>
      </c>
      <c r="L357" s="5">
        <v>5067.0</v>
      </c>
      <c r="M357" s="30">
        <v>87500.0</v>
      </c>
      <c r="N357" s="15" t="str">
        <f t="array" ref="N357">IFERROR(VLOOKUP(T357,Ref_sheet!$A$1:$B$8,2,FALSE))</f>
        <v/>
      </c>
      <c r="O357" s="12">
        <v>18.0</v>
      </c>
      <c r="P357" s="5" t="s">
        <v>40</v>
      </c>
      <c r="Q357" s="5"/>
      <c r="R357" s="5" t="s">
        <v>41</v>
      </c>
      <c r="S357" s="5"/>
      <c r="T357" s="5" t="s">
        <v>46</v>
      </c>
    </row>
    <row r="358">
      <c r="A358" s="25">
        <v>43866.0</v>
      </c>
      <c r="B358" s="28">
        <v>0.4375</v>
      </c>
      <c r="C358" s="5" t="s">
        <v>440</v>
      </c>
      <c r="D358" s="29">
        <v>44029.0</v>
      </c>
      <c r="E358" s="5">
        <v>27.0</v>
      </c>
      <c r="F358" s="5" t="s">
        <v>32</v>
      </c>
      <c r="G358" s="5">
        <v>26.91</v>
      </c>
      <c r="H358" s="5">
        <v>628.0</v>
      </c>
      <c r="I358" s="5">
        <v>4.2</v>
      </c>
      <c r="J358" s="5" t="s">
        <v>39</v>
      </c>
      <c r="K358" s="5">
        <v>628.0</v>
      </c>
      <c r="L358" s="5">
        <v>151.0</v>
      </c>
      <c r="M358" s="30">
        <v>263760.0</v>
      </c>
      <c r="N358" s="15" t="str">
        <f t="array" ref="N358">IFERROR(VLOOKUP(T358,Ref_sheet!$A$1:$B$8,2,FALSE))</f>
        <v/>
      </c>
      <c r="O358" s="12">
        <v>50.0</v>
      </c>
      <c r="P358" s="5" t="s">
        <v>51</v>
      </c>
      <c r="Q358" s="5"/>
      <c r="R358" s="5" t="s">
        <v>35</v>
      </c>
      <c r="S358" s="5"/>
      <c r="T358" s="5" t="s">
        <v>42</v>
      </c>
    </row>
    <row r="359">
      <c r="A359" s="25">
        <v>43866.0</v>
      </c>
      <c r="B359" s="28">
        <v>0.4375</v>
      </c>
      <c r="C359" s="5" t="s">
        <v>456</v>
      </c>
      <c r="D359" s="29">
        <v>43910.0</v>
      </c>
      <c r="E359" s="5">
        <v>8.0</v>
      </c>
      <c r="F359" s="5" t="s">
        <v>38</v>
      </c>
      <c r="G359" s="5">
        <v>7.74</v>
      </c>
      <c r="H359" s="5">
        <v>699.0</v>
      </c>
      <c r="I359" s="5">
        <v>0.52</v>
      </c>
      <c r="J359" s="5" t="s">
        <v>39</v>
      </c>
      <c r="K359" s="5">
        <v>705.0</v>
      </c>
      <c r="L359" s="5">
        <v>230.0</v>
      </c>
      <c r="M359" s="30">
        <v>36348.0</v>
      </c>
      <c r="N359" s="15" t="str">
        <f t="array" ref="N359">IFERROR(VLOOKUP(T359,Ref_sheet!$A$1:$B$8,2,FALSE))</f>
        <v/>
      </c>
      <c r="O359" s="12">
        <v>48.0</v>
      </c>
      <c r="P359" s="5" t="s">
        <v>64</v>
      </c>
      <c r="Q359" s="5"/>
      <c r="R359" s="5" t="s">
        <v>41</v>
      </c>
      <c r="S359" s="5"/>
      <c r="T359" s="5" t="s">
        <v>42</v>
      </c>
    </row>
    <row r="360">
      <c r="A360" s="25">
        <v>43866.0</v>
      </c>
      <c r="B360" s="28">
        <v>0.4361111111111111</v>
      </c>
      <c r="C360" s="5" t="s">
        <v>62</v>
      </c>
      <c r="D360" s="29">
        <v>43868.0</v>
      </c>
      <c r="E360" s="5">
        <v>185.0</v>
      </c>
      <c r="F360" s="5" t="s">
        <v>38</v>
      </c>
      <c r="G360" s="5">
        <v>181.41</v>
      </c>
      <c r="H360" s="5">
        <v>541.0</v>
      </c>
      <c r="I360" s="5">
        <v>0.67</v>
      </c>
      <c r="J360" s="5" t="s">
        <v>39</v>
      </c>
      <c r="K360" s="5">
        <v>8981.0</v>
      </c>
      <c r="L360" s="5">
        <v>3003.0</v>
      </c>
      <c r="M360" s="30">
        <v>36247.0</v>
      </c>
      <c r="N360" s="15" t="str">
        <f t="array" ref="N360">IFERROR(VLOOKUP(T360,Ref_sheet!$A$1:$B$8,2,FALSE))</f>
        <v/>
      </c>
      <c r="O360" s="12">
        <v>18.0</v>
      </c>
      <c r="P360" s="5" t="s">
        <v>40</v>
      </c>
      <c r="Q360" s="5"/>
      <c r="R360" s="5" t="s">
        <v>41</v>
      </c>
      <c r="S360" s="5"/>
      <c r="T360" s="5" t="s">
        <v>36</v>
      </c>
    </row>
    <row r="361">
      <c r="A361" s="25">
        <v>43866.0</v>
      </c>
      <c r="B361" s="28">
        <v>0.4354166666666667</v>
      </c>
      <c r="C361" s="5" t="s">
        <v>76</v>
      </c>
      <c r="D361" s="29">
        <v>43910.0</v>
      </c>
      <c r="E361" s="5">
        <v>60.0</v>
      </c>
      <c r="F361" s="5" t="s">
        <v>32</v>
      </c>
      <c r="G361" s="5">
        <v>66.25</v>
      </c>
      <c r="H361" s="5">
        <v>585.0</v>
      </c>
      <c r="I361" s="5">
        <v>0.52</v>
      </c>
      <c r="J361" s="5" t="s">
        <v>39</v>
      </c>
      <c r="K361" s="5">
        <v>1103.0</v>
      </c>
      <c r="L361" s="5">
        <v>6469.0</v>
      </c>
      <c r="M361" s="30">
        <v>30420.0</v>
      </c>
      <c r="N361" s="15" t="str">
        <f t="array" ref="N361">IFERROR(VLOOKUP(T361,Ref_sheet!$A$1:$B$8,2,FALSE))</f>
        <v/>
      </c>
      <c r="O361" s="12">
        <v>16.0</v>
      </c>
      <c r="P361" s="5" t="s">
        <v>40</v>
      </c>
      <c r="Q361" s="5"/>
      <c r="R361" s="5" t="s">
        <v>35</v>
      </c>
      <c r="S361" s="5"/>
      <c r="T361" s="5" t="s">
        <v>46</v>
      </c>
    </row>
    <row r="362">
      <c r="A362" s="25">
        <v>43866.0</v>
      </c>
      <c r="B362" s="28">
        <v>0.4354166666666667</v>
      </c>
      <c r="C362" s="5" t="s">
        <v>409</v>
      </c>
      <c r="D362" s="29">
        <v>43875.0</v>
      </c>
      <c r="E362" s="5">
        <v>31.0</v>
      </c>
      <c r="F362" s="5" t="s">
        <v>32</v>
      </c>
      <c r="G362" s="5">
        <v>32.34</v>
      </c>
      <c r="H362" s="5">
        <v>670.0</v>
      </c>
      <c r="I362" s="5">
        <v>1.85</v>
      </c>
      <c r="J362" s="5" t="s">
        <v>48</v>
      </c>
      <c r="K362" s="5">
        <v>1303.0</v>
      </c>
      <c r="L362" s="5">
        <v>18.0</v>
      </c>
      <c r="M362" s="30">
        <v>123950.0</v>
      </c>
      <c r="N362" s="15" t="str">
        <f t="array" ref="N362">IFERROR(VLOOKUP(T362,Ref_sheet!$A$1:$B$8,2,FALSE))</f>
        <v/>
      </c>
      <c r="O362" s="12">
        <v>50.0</v>
      </c>
      <c r="P362" s="5" t="s">
        <v>58</v>
      </c>
      <c r="Q362" s="5"/>
      <c r="R362" s="5" t="s">
        <v>35</v>
      </c>
      <c r="S362" s="5"/>
      <c r="T362" s="5" t="s">
        <v>42</v>
      </c>
    </row>
    <row r="363">
      <c r="A363" s="25">
        <v>43866.0</v>
      </c>
      <c r="B363" s="28">
        <v>0.43472222222222223</v>
      </c>
      <c r="C363" s="5" t="s">
        <v>62</v>
      </c>
      <c r="D363" s="29">
        <v>43868.0</v>
      </c>
      <c r="E363" s="5">
        <v>185.0</v>
      </c>
      <c r="F363" s="5" t="s">
        <v>38</v>
      </c>
      <c r="G363" s="5">
        <v>181.75</v>
      </c>
      <c r="H363" s="5">
        <v>500.0</v>
      </c>
      <c r="I363" s="5">
        <v>0.7</v>
      </c>
      <c r="J363" s="5" t="s">
        <v>39</v>
      </c>
      <c r="K363" s="5">
        <v>7222.0</v>
      </c>
      <c r="L363" s="5">
        <v>3003.0</v>
      </c>
      <c r="M363" s="30">
        <v>35000.0</v>
      </c>
      <c r="N363" s="15" t="str">
        <f t="array" ref="N363">IFERROR(VLOOKUP(T363,Ref_sheet!$A$1:$B$8,2,FALSE))</f>
        <v/>
      </c>
      <c r="O363" s="12">
        <v>18.0</v>
      </c>
      <c r="P363" s="5" t="s">
        <v>40</v>
      </c>
      <c r="Q363" s="5"/>
      <c r="R363" s="5" t="s">
        <v>41</v>
      </c>
      <c r="S363" s="5"/>
      <c r="T363" s="5" t="s">
        <v>36</v>
      </c>
    </row>
    <row r="364">
      <c r="A364" s="25">
        <v>43866.0</v>
      </c>
      <c r="B364" s="28">
        <v>0.4340277777777778</v>
      </c>
      <c r="C364" s="5" t="s">
        <v>60</v>
      </c>
      <c r="D364" s="29">
        <v>43882.0</v>
      </c>
      <c r="E364" s="5">
        <v>2150.0</v>
      </c>
      <c r="F364" s="5" t="s">
        <v>38</v>
      </c>
      <c r="G364" s="5">
        <v>2051.46</v>
      </c>
      <c r="H364" s="5">
        <v>97.0</v>
      </c>
      <c r="I364" s="5">
        <v>10.4</v>
      </c>
      <c r="J364" s="5" t="s">
        <v>48</v>
      </c>
      <c r="K364" s="5">
        <v>378.0</v>
      </c>
      <c r="L364" s="5">
        <v>1124.0</v>
      </c>
      <c r="M364" s="30">
        <v>100880.0</v>
      </c>
      <c r="N364" s="15" t="str">
        <f t="array" ref="N364">IFERROR(VLOOKUP(T364,Ref_sheet!$A$1:$B$8,2,FALSE))</f>
        <v/>
      </c>
      <c r="O364" s="12">
        <v>20.0</v>
      </c>
      <c r="P364" s="5" t="s">
        <v>51</v>
      </c>
      <c r="Q364" s="5"/>
      <c r="R364" s="5" t="s">
        <v>41</v>
      </c>
      <c r="S364" s="5"/>
      <c r="T364" s="5" t="s">
        <v>46</v>
      </c>
    </row>
    <row r="365">
      <c r="A365" s="25">
        <v>43866.0</v>
      </c>
      <c r="B365" s="28">
        <v>0.43472222222222223</v>
      </c>
      <c r="C365" s="5" t="s">
        <v>122</v>
      </c>
      <c r="D365" s="29">
        <v>43875.0</v>
      </c>
      <c r="E365" s="5">
        <v>34.0</v>
      </c>
      <c r="F365" s="5" t="s">
        <v>32</v>
      </c>
      <c r="G365" s="5">
        <v>34.5</v>
      </c>
      <c r="H365" s="5">
        <v>500.0</v>
      </c>
      <c r="I365" s="5">
        <v>0.3</v>
      </c>
      <c r="J365" s="5" t="s">
        <v>48</v>
      </c>
      <c r="K365" s="5">
        <v>806.0</v>
      </c>
      <c r="L365" s="5">
        <v>1963.0</v>
      </c>
      <c r="M365" s="30">
        <v>15000.0</v>
      </c>
      <c r="N365" s="15" t="str">
        <f t="array" ref="N365">IFERROR(VLOOKUP(T365,Ref_sheet!$A$1:$B$8,2,FALSE))</f>
        <v/>
      </c>
      <c r="O365" s="12">
        <v>29.0</v>
      </c>
      <c r="P365" s="5" t="s">
        <v>162</v>
      </c>
      <c r="Q365" s="5"/>
      <c r="R365" s="5" t="s">
        <v>35</v>
      </c>
      <c r="S365" s="5"/>
      <c r="T365" s="5" t="s">
        <v>46</v>
      </c>
    </row>
    <row r="366">
      <c r="A366" s="25">
        <v>43866.0</v>
      </c>
      <c r="B366" s="28">
        <v>0.4340277777777778</v>
      </c>
      <c r="C366" s="5" t="s">
        <v>466</v>
      </c>
      <c r="D366" s="29">
        <v>43910.0</v>
      </c>
      <c r="E366" s="5">
        <v>7.5</v>
      </c>
      <c r="F366" s="5" t="s">
        <v>38</v>
      </c>
      <c r="G366" s="5">
        <v>5.31</v>
      </c>
      <c r="H366" s="5">
        <v>1000.0</v>
      </c>
      <c r="I366" s="5">
        <v>0.2</v>
      </c>
      <c r="J366" s="5" t="s">
        <v>48</v>
      </c>
      <c r="K366" s="5">
        <v>1000.0</v>
      </c>
      <c r="L366" s="5">
        <v>3846.0</v>
      </c>
      <c r="M366" s="30">
        <v>20000.0</v>
      </c>
      <c r="N366" s="15" t="str">
        <f t="array" ref="N366">IFERROR(VLOOKUP(T366,Ref_sheet!$A$1:$B$8,2,FALSE))</f>
        <v/>
      </c>
      <c r="O366" s="12">
        <v>30.0</v>
      </c>
      <c r="P366" s="5" t="s">
        <v>51</v>
      </c>
      <c r="Q366" s="5"/>
      <c r="R366" s="5" t="s">
        <v>41</v>
      </c>
      <c r="S366" s="5"/>
      <c r="T366" s="5" t="s">
        <v>46</v>
      </c>
    </row>
    <row r="367">
      <c r="A367" s="25">
        <v>43866.0</v>
      </c>
      <c r="B367" s="28">
        <v>0.43194444444444446</v>
      </c>
      <c r="C367" s="5" t="s">
        <v>124</v>
      </c>
      <c r="D367" s="29">
        <v>43910.0</v>
      </c>
      <c r="E367" s="5">
        <v>37.0</v>
      </c>
      <c r="F367" s="5" t="s">
        <v>38</v>
      </c>
      <c r="G367" s="5">
        <v>33.4</v>
      </c>
      <c r="H367" s="5">
        <v>500.0</v>
      </c>
      <c r="I367" s="5">
        <v>0.93</v>
      </c>
      <c r="J367" s="5" t="s">
        <v>48</v>
      </c>
      <c r="K367" s="5">
        <v>1030.0</v>
      </c>
      <c r="L367" s="5">
        <v>9355.0</v>
      </c>
      <c r="M367" s="30">
        <v>46500.0</v>
      </c>
      <c r="N367" s="15" t="str">
        <f t="array" ref="N367">IFERROR(VLOOKUP(T367,Ref_sheet!$A$1:$B$8,2,FALSE))</f>
        <v/>
      </c>
      <c r="O367" s="12">
        <v>14.0</v>
      </c>
      <c r="P367" s="5" t="s">
        <v>40</v>
      </c>
      <c r="Q367" s="5"/>
      <c r="R367" s="5" t="s">
        <v>41</v>
      </c>
      <c r="S367" s="5"/>
      <c r="T367" s="5" t="s">
        <v>46</v>
      </c>
    </row>
    <row r="368">
      <c r="A368" s="25">
        <v>43866.0</v>
      </c>
      <c r="B368" s="28">
        <v>0.43125</v>
      </c>
      <c r="C368" s="5" t="s">
        <v>124</v>
      </c>
      <c r="D368" s="29">
        <v>43910.0</v>
      </c>
      <c r="E368" s="5">
        <v>37.0</v>
      </c>
      <c r="F368" s="5" t="s">
        <v>38</v>
      </c>
      <c r="G368" s="5">
        <v>33.42</v>
      </c>
      <c r="H368" s="5">
        <v>500.0</v>
      </c>
      <c r="I368" s="5">
        <v>0.94</v>
      </c>
      <c r="J368" s="5" t="s">
        <v>33</v>
      </c>
      <c r="K368" s="5">
        <v>530.0</v>
      </c>
      <c r="L368" s="5">
        <v>9355.0</v>
      </c>
      <c r="M368" s="30">
        <v>47000.0</v>
      </c>
      <c r="N368" s="15" t="str">
        <f t="array" ref="N368">IFERROR(VLOOKUP(T368,Ref_sheet!$A$1:$B$8,2,FALSE))</f>
        <v/>
      </c>
      <c r="O368" s="12">
        <v>23.0</v>
      </c>
      <c r="P368" s="5" t="s">
        <v>40</v>
      </c>
      <c r="Q368" s="5"/>
      <c r="R368" s="5" t="s">
        <v>41</v>
      </c>
      <c r="S368" s="5"/>
      <c r="T368" s="5" t="s">
        <v>46</v>
      </c>
    </row>
    <row r="369">
      <c r="A369" s="25">
        <v>43866.0</v>
      </c>
      <c r="B369" s="28">
        <v>0.4305555555555556</v>
      </c>
      <c r="C369" s="5" t="s">
        <v>122</v>
      </c>
      <c r="D369" s="29">
        <v>43875.0</v>
      </c>
      <c r="E369" s="5">
        <v>35.0</v>
      </c>
      <c r="F369" s="5" t="s">
        <v>38</v>
      </c>
      <c r="G369" s="5">
        <v>34.53</v>
      </c>
      <c r="H369" s="5">
        <v>1627.0</v>
      </c>
      <c r="I369" s="5">
        <v>0.29</v>
      </c>
      <c r="J369" s="5" t="s">
        <v>39</v>
      </c>
      <c r="K369" s="5">
        <v>13645.0</v>
      </c>
      <c r="L369" s="5">
        <v>2872.0</v>
      </c>
      <c r="M369" s="30">
        <v>47183.0</v>
      </c>
      <c r="N369" s="15" t="str">
        <f t="array" ref="N369">IFERROR(VLOOKUP(T369,Ref_sheet!$A$1:$B$8,2,FALSE))</f>
        <v/>
      </c>
      <c r="O369" s="12">
        <v>27.0</v>
      </c>
      <c r="P369" s="5" t="s">
        <v>162</v>
      </c>
      <c r="Q369" s="5"/>
      <c r="R369" s="5" t="s">
        <v>41</v>
      </c>
      <c r="S369" s="5"/>
      <c r="T369" s="5" t="s">
        <v>36</v>
      </c>
    </row>
    <row r="370">
      <c r="A370" s="25">
        <v>43866.0</v>
      </c>
      <c r="B370" s="28">
        <v>0.4305555555555556</v>
      </c>
      <c r="C370" s="5" t="s">
        <v>248</v>
      </c>
      <c r="D370" s="29">
        <v>44211.0</v>
      </c>
      <c r="E370" s="5">
        <v>15.0</v>
      </c>
      <c r="F370" s="5" t="s">
        <v>32</v>
      </c>
      <c r="G370" s="5">
        <v>14.53</v>
      </c>
      <c r="H370" s="5">
        <v>500.0</v>
      </c>
      <c r="I370" s="5">
        <v>2.13</v>
      </c>
      <c r="J370" s="5" t="s">
        <v>39</v>
      </c>
      <c r="K370" s="5">
        <v>1388.0</v>
      </c>
      <c r="L370" s="5">
        <v>54318.0</v>
      </c>
      <c r="M370" s="30">
        <v>106500.0</v>
      </c>
      <c r="N370" s="15" t="str">
        <f t="array" ref="N370">IFERROR(VLOOKUP(T370,Ref_sheet!$A$1:$B$8,2,FALSE))</f>
        <v/>
      </c>
      <c r="O370" s="12">
        <v>12.0</v>
      </c>
      <c r="P370" s="5" t="s">
        <v>64</v>
      </c>
      <c r="Q370" s="5"/>
      <c r="R370" s="5" t="s">
        <v>35</v>
      </c>
      <c r="S370" s="5"/>
      <c r="T370" s="5" t="s">
        <v>46</v>
      </c>
    </row>
    <row r="371">
      <c r="A371" s="25">
        <v>43866.0</v>
      </c>
      <c r="B371" s="28">
        <v>0.4305555555555556</v>
      </c>
      <c r="C371" s="5" t="s">
        <v>449</v>
      </c>
      <c r="D371" s="29">
        <v>43896.0</v>
      </c>
      <c r="E371" s="5">
        <v>143.0</v>
      </c>
      <c r="F371" s="5" t="s">
        <v>38</v>
      </c>
      <c r="G371" s="5">
        <v>142.26</v>
      </c>
      <c r="H371" s="5">
        <v>1138.0</v>
      </c>
      <c r="I371" s="5">
        <v>1.65</v>
      </c>
      <c r="J371" s="5" t="s">
        <v>39</v>
      </c>
      <c r="K371" s="5">
        <v>1149.0</v>
      </c>
      <c r="L371" s="5">
        <v>36.0</v>
      </c>
      <c r="M371" s="30">
        <v>187513.0</v>
      </c>
      <c r="N371" s="15" t="str">
        <f t="array" ref="N371">IFERROR(VLOOKUP(T371,Ref_sheet!$A$1:$B$8,2,FALSE))</f>
        <v/>
      </c>
      <c r="O371" s="12">
        <v>55.0</v>
      </c>
      <c r="P371" s="5" t="s">
        <v>34</v>
      </c>
      <c r="Q371" s="5"/>
      <c r="R371" s="5" t="s">
        <v>41</v>
      </c>
      <c r="S371" s="5"/>
      <c r="T371" s="5" t="s">
        <v>42</v>
      </c>
    </row>
    <row r="372">
      <c r="A372" s="25">
        <v>43866.0</v>
      </c>
      <c r="B372" s="28">
        <v>0.42986111111111114</v>
      </c>
      <c r="C372" s="5" t="s">
        <v>43</v>
      </c>
      <c r="D372" s="29">
        <v>44120.0</v>
      </c>
      <c r="E372" s="5">
        <v>24.0</v>
      </c>
      <c r="F372" s="5" t="s">
        <v>38</v>
      </c>
      <c r="G372" s="5">
        <v>19.77</v>
      </c>
      <c r="H372" s="5">
        <v>1812.0</v>
      </c>
      <c r="I372" s="5">
        <v>0.7</v>
      </c>
      <c r="J372" s="5" t="s">
        <v>39</v>
      </c>
      <c r="K372" s="5">
        <v>5752.0</v>
      </c>
      <c r="L372" s="5">
        <v>4649.0</v>
      </c>
      <c r="M372" s="30">
        <v>126840.0</v>
      </c>
      <c r="N372" s="15" t="str">
        <f t="array" ref="N372">IFERROR(VLOOKUP(T372,Ref_sheet!$A$1:$B$8,2,FALSE))</f>
        <v/>
      </c>
      <c r="O372" s="12">
        <v>20.0</v>
      </c>
      <c r="P372" s="5" t="s">
        <v>34</v>
      </c>
      <c r="Q372" s="5"/>
      <c r="R372" s="5" t="s">
        <v>41</v>
      </c>
      <c r="S372" s="5"/>
      <c r="T372" s="5" t="s">
        <v>36</v>
      </c>
    </row>
    <row r="373">
      <c r="A373" s="25">
        <v>43866.0</v>
      </c>
      <c r="B373" s="28">
        <v>0.42986111111111114</v>
      </c>
      <c r="C373" s="5" t="s">
        <v>320</v>
      </c>
      <c r="D373" s="29">
        <v>43910.0</v>
      </c>
      <c r="E373" s="5">
        <v>130.0</v>
      </c>
      <c r="F373" s="5" t="s">
        <v>32</v>
      </c>
      <c r="G373" s="5">
        <v>130.19</v>
      </c>
      <c r="H373" s="5">
        <v>504.0</v>
      </c>
      <c r="I373" s="5">
        <v>9.0</v>
      </c>
      <c r="J373" s="5" t="s">
        <v>39</v>
      </c>
      <c r="K373" s="5">
        <v>504.0</v>
      </c>
      <c r="L373" s="5">
        <v>69.0</v>
      </c>
      <c r="M373" s="30">
        <v>453568.0</v>
      </c>
      <c r="N373" s="15" t="str">
        <f t="array" ref="N373">IFERROR(VLOOKUP(T373,Ref_sheet!$A$1:$B$8,2,FALSE))</f>
        <v/>
      </c>
      <c r="O373" s="12">
        <v>54.0</v>
      </c>
      <c r="P373" s="5" t="s">
        <v>40</v>
      </c>
      <c r="Q373" s="5"/>
      <c r="R373" s="5" t="s">
        <v>35</v>
      </c>
      <c r="S373" s="5"/>
      <c r="T373" s="5" t="s">
        <v>42</v>
      </c>
    </row>
    <row r="374">
      <c r="A374" s="25">
        <v>43866.0</v>
      </c>
      <c r="B374" s="28">
        <v>0.42916666666666664</v>
      </c>
      <c r="C374" s="5" t="s">
        <v>262</v>
      </c>
      <c r="D374" s="29">
        <v>43966.0</v>
      </c>
      <c r="E374" s="5">
        <v>22.5</v>
      </c>
      <c r="F374" s="5" t="s">
        <v>32</v>
      </c>
      <c r="G374" s="5">
        <v>23.78</v>
      </c>
      <c r="H374" s="5">
        <v>2652.0</v>
      </c>
      <c r="I374" s="5">
        <v>1.85</v>
      </c>
      <c r="J374" s="5" t="s">
        <v>39</v>
      </c>
      <c r="K374" s="5">
        <v>2652.0</v>
      </c>
      <c r="L374" s="5">
        <v>402.0</v>
      </c>
      <c r="M374" s="30">
        <v>490620.0</v>
      </c>
      <c r="N374" s="15" t="str">
        <f t="array" ref="N374">IFERROR(VLOOKUP(T374,Ref_sheet!$A$1:$B$8,2,FALSE))</f>
        <v/>
      </c>
      <c r="O374" s="12">
        <v>50.0</v>
      </c>
      <c r="P374" s="5" t="s">
        <v>51</v>
      </c>
      <c r="Q374" s="5"/>
      <c r="R374" s="5" t="s">
        <v>35</v>
      </c>
      <c r="S374" s="5"/>
      <c r="T374" s="5" t="s">
        <v>42</v>
      </c>
    </row>
    <row r="375">
      <c r="A375" s="25">
        <v>43866.0</v>
      </c>
      <c r="B375" s="28">
        <v>0.42916666666666664</v>
      </c>
      <c r="C375" s="5" t="s">
        <v>262</v>
      </c>
      <c r="D375" s="29">
        <v>43966.0</v>
      </c>
      <c r="E375" s="5">
        <v>22.5</v>
      </c>
      <c r="F375" s="5" t="s">
        <v>32</v>
      </c>
      <c r="G375" s="5">
        <v>23.78</v>
      </c>
      <c r="H375" s="5">
        <v>505.0</v>
      </c>
      <c r="I375" s="5">
        <v>1.85</v>
      </c>
      <c r="J375" s="5" t="s">
        <v>48</v>
      </c>
      <c r="K375" s="5">
        <v>2523.0</v>
      </c>
      <c r="L375" s="5">
        <v>402.0</v>
      </c>
      <c r="M375" s="30">
        <v>93425.0</v>
      </c>
      <c r="N375" s="15" t="str">
        <f t="array" ref="N375">IFERROR(VLOOKUP(T375,Ref_sheet!$A$1:$B$8,2,FALSE))</f>
        <v/>
      </c>
      <c r="O375" s="12">
        <v>32.0</v>
      </c>
      <c r="P375" s="5" t="s">
        <v>51</v>
      </c>
      <c r="Q375" s="5"/>
      <c r="R375" s="5" t="s">
        <v>35</v>
      </c>
      <c r="S375" s="5"/>
      <c r="T375" s="5" t="s">
        <v>42</v>
      </c>
    </row>
    <row r="376">
      <c r="A376" s="25">
        <v>43866.0</v>
      </c>
      <c r="B376" s="28">
        <v>0.42916666666666664</v>
      </c>
      <c r="C376" s="5" t="s">
        <v>329</v>
      </c>
      <c r="D376" s="29">
        <v>43875.0</v>
      </c>
      <c r="E376" s="5">
        <v>28.5</v>
      </c>
      <c r="F376" s="5" t="s">
        <v>38</v>
      </c>
      <c r="G376" s="5">
        <v>28.66</v>
      </c>
      <c r="H376" s="5">
        <v>551.0</v>
      </c>
      <c r="I376" s="5">
        <v>0.83</v>
      </c>
      <c r="J376" s="5" t="s">
        <v>39</v>
      </c>
      <c r="K376" s="5">
        <v>3538.0</v>
      </c>
      <c r="L376" s="5">
        <v>1630.0</v>
      </c>
      <c r="M376" s="30">
        <v>45733.0</v>
      </c>
      <c r="N376" s="15" t="str">
        <f t="array" ref="N376">IFERROR(VLOOKUP(T376,Ref_sheet!$A$1:$B$8,2,FALSE))</f>
        <v/>
      </c>
      <c r="O376" s="12">
        <v>22.0</v>
      </c>
      <c r="P376" s="5" t="s">
        <v>51</v>
      </c>
      <c r="Q376" s="5"/>
      <c r="R376" s="5" t="s">
        <v>41</v>
      </c>
      <c r="S376" s="5"/>
      <c r="T376" s="5" t="s">
        <v>36</v>
      </c>
    </row>
    <row r="377">
      <c r="A377" s="25">
        <v>43866.0</v>
      </c>
      <c r="B377" s="28">
        <v>0.4284722222222222</v>
      </c>
      <c r="C377" s="5" t="s">
        <v>454</v>
      </c>
      <c r="D377" s="29">
        <v>43910.0</v>
      </c>
      <c r="E377" s="5">
        <v>95.0</v>
      </c>
      <c r="F377" s="5" t="s">
        <v>38</v>
      </c>
      <c r="G377" s="5">
        <v>86.27</v>
      </c>
      <c r="H377" s="5">
        <v>500.0</v>
      </c>
      <c r="I377" s="5">
        <v>1.88</v>
      </c>
      <c r="J377" s="5" t="s">
        <v>39</v>
      </c>
      <c r="K377" s="5">
        <v>909.0</v>
      </c>
      <c r="L377" s="5">
        <v>787.0</v>
      </c>
      <c r="M377" s="30">
        <v>94014.0</v>
      </c>
      <c r="N377" s="15" t="str">
        <f t="array" ref="N377">IFERROR(VLOOKUP(T377,Ref_sheet!$A$1:$B$8,2,FALSE))</f>
        <v/>
      </c>
      <c r="O377" s="12">
        <v>32.0</v>
      </c>
      <c r="P377" s="5" t="s">
        <v>45</v>
      </c>
      <c r="Q377" s="5"/>
      <c r="R377" s="5" t="s">
        <v>41</v>
      </c>
      <c r="S377" s="5"/>
      <c r="T377" s="5" t="s">
        <v>36</v>
      </c>
    </row>
    <row r="378">
      <c r="A378" s="25">
        <v>43866.0</v>
      </c>
      <c r="B378" s="28">
        <v>0.4284722222222222</v>
      </c>
      <c r="C378" s="5" t="s">
        <v>246</v>
      </c>
      <c r="D378" s="29">
        <v>43910.0</v>
      </c>
      <c r="E378" s="5">
        <v>45.0</v>
      </c>
      <c r="F378" s="5" t="s">
        <v>38</v>
      </c>
      <c r="G378" s="5">
        <v>42.91</v>
      </c>
      <c r="H378" s="5">
        <v>500.0</v>
      </c>
      <c r="I378" s="5">
        <v>0.65</v>
      </c>
      <c r="J378" s="5" t="s">
        <v>48</v>
      </c>
      <c r="K378" s="5">
        <v>500.0</v>
      </c>
      <c r="L378" s="5">
        <v>468.0</v>
      </c>
      <c r="M378" s="30">
        <v>32500.0</v>
      </c>
      <c r="N378" s="15" t="str">
        <f t="array" ref="N378">IFERROR(VLOOKUP(T378,Ref_sheet!$A$1:$B$8,2,FALSE))</f>
        <v/>
      </c>
      <c r="O378" s="12">
        <v>48.0</v>
      </c>
      <c r="P378" s="5" t="s">
        <v>53</v>
      </c>
      <c r="Q378" s="5"/>
      <c r="R378" s="5" t="s">
        <v>41</v>
      </c>
      <c r="S378" s="5"/>
      <c r="T378" s="5" t="s">
        <v>42</v>
      </c>
    </row>
    <row r="379">
      <c r="A379" s="25">
        <v>43866.0</v>
      </c>
      <c r="B379" s="28">
        <v>0.4284722222222222</v>
      </c>
      <c r="C379" s="5" t="s">
        <v>290</v>
      </c>
      <c r="D379" s="29">
        <v>43868.0</v>
      </c>
      <c r="E379" s="5">
        <v>130.0</v>
      </c>
      <c r="F379" s="5" t="s">
        <v>32</v>
      </c>
      <c r="G379" s="5">
        <v>129.65</v>
      </c>
      <c r="H379" s="5">
        <v>411.0</v>
      </c>
      <c r="I379" s="5">
        <v>2.0</v>
      </c>
      <c r="J379" s="5" t="s">
        <v>39</v>
      </c>
      <c r="K379" s="5">
        <v>935.0</v>
      </c>
      <c r="L379" s="5">
        <v>434.0</v>
      </c>
      <c r="M379" s="30">
        <v>82180.0</v>
      </c>
      <c r="N379" s="15" t="str">
        <f t="array" ref="N379">IFERROR(VLOOKUP(T379,Ref_sheet!$A$1:$B$8,2,FALSE))</f>
        <v/>
      </c>
      <c r="O379" s="12">
        <v>47.0</v>
      </c>
      <c r="P379" s="5" t="s">
        <v>40</v>
      </c>
      <c r="Q379" s="5"/>
      <c r="R379" s="5" t="s">
        <v>35</v>
      </c>
      <c r="S379" s="5"/>
      <c r="T379" s="5" t="s">
        <v>36</v>
      </c>
    </row>
    <row r="380">
      <c r="A380" s="25">
        <v>43866.0</v>
      </c>
      <c r="B380" s="28">
        <v>0.42777777777777776</v>
      </c>
      <c r="C380" s="5" t="s">
        <v>372</v>
      </c>
      <c r="D380" s="29">
        <v>43938.0</v>
      </c>
      <c r="E380" s="5">
        <v>30.0</v>
      </c>
      <c r="F380" s="5" t="s">
        <v>38</v>
      </c>
      <c r="G380" s="5">
        <v>29.24</v>
      </c>
      <c r="H380" s="5">
        <v>566.0</v>
      </c>
      <c r="I380" s="5">
        <v>1.3</v>
      </c>
      <c r="J380" s="5" t="s">
        <v>39</v>
      </c>
      <c r="K380" s="5">
        <v>1565.0</v>
      </c>
      <c r="L380" s="5">
        <v>4922.0</v>
      </c>
      <c r="M380" s="30">
        <v>73580.0</v>
      </c>
      <c r="N380" s="15" t="str">
        <f t="array" ref="N380">IFERROR(VLOOKUP(T380,Ref_sheet!$A$1:$B$8,2,FALSE))</f>
        <v/>
      </c>
      <c r="O380" s="12">
        <v>13.0</v>
      </c>
      <c r="P380" s="5" t="s">
        <v>58</v>
      </c>
      <c r="Q380" s="5"/>
      <c r="R380" s="5" t="s">
        <v>41</v>
      </c>
      <c r="S380" s="5"/>
      <c r="T380" s="5" t="s">
        <v>46</v>
      </c>
    </row>
    <row r="381">
      <c r="A381" s="25">
        <v>43866.0</v>
      </c>
      <c r="B381" s="28">
        <v>0.42777777777777776</v>
      </c>
      <c r="C381" s="5" t="s">
        <v>122</v>
      </c>
      <c r="D381" s="29">
        <v>43910.0</v>
      </c>
      <c r="E381" s="5">
        <v>35.0</v>
      </c>
      <c r="F381" s="5" t="s">
        <v>38</v>
      </c>
      <c r="G381" s="5">
        <v>34.53</v>
      </c>
      <c r="H381" s="5">
        <v>500.0</v>
      </c>
      <c r="I381" s="5">
        <v>0.73</v>
      </c>
      <c r="J381" s="5" t="s">
        <v>39</v>
      </c>
      <c r="K381" s="5">
        <v>9141.0</v>
      </c>
      <c r="L381" s="5">
        <v>34017.0</v>
      </c>
      <c r="M381" s="30">
        <v>36500.0</v>
      </c>
      <c r="N381" s="15" t="str">
        <f t="array" ref="N381">IFERROR(VLOOKUP(T381,Ref_sheet!$A$1:$B$8,2,FALSE))</f>
        <v/>
      </c>
      <c r="O381" s="12">
        <v>5.0</v>
      </c>
      <c r="P381" s="5" t="s">
        <v>162</v>
      </c>
      <c r="Q381" s="5"/>
      <c r="R381" s="5" t="s">
        <v>41</v>
      </c>
      <c r="S381" s="5"/>
      <c r="T381" s="5" t="s">
        <v>46</v>
      </c>
    </row>
    <row r="382">
      <c r="A382" s="25">
        <v>43866.0</v>
      </c>
      <c r="B382" s="28">
        <v>0.4270833333333333</v>
      </c>
      <c r="C382" s="5" t="s">
        <v>356</v>
      </c>
      <c r="D382" s="29">
        <v>43868.0</v>
      </c>
      <c r="E382" s="5">
        <v>56.5</v>
      </c>
      <c r="F382" s="5" t="s">
        <v>32</v>
      </c>
      <c r="G382" s="5">
        <v>56.48</v>
      </c>
      <c r="H382" s="5">
        <v>556.0</v>
      </c>
      <c r="I382" s="5">
        <v>0.78</v>
      </c>
      <c r="J382" s="5" t="s">
        <v>39</v>
      </c>
      <c r="K382" s="5">
        <v>1740.0</v>
      </c>
      <c r="L382" s="5">
        <v>283.0</v>
      </c>
      <c r="M382" s="30">
        <v>43536.0</v>
      </c>
      <c r="N382" s="15" t="str">
        <f t="array" ref="N382">IFERROR(VLOOKUP(T382,Ref_sheet!$A$1:$B$8,2,FALSE))</f>
        <v/>
      </c>
      <c r="O382" s="12">
        <v>44.0</v>
      </c>
      <c r="P382" s="5" t="s">
        <v>40</v>
      </c>
      <c r="Q382" s="5"/>
      <c r="R382" s="5" t="s">
        <v>35</v>
      </c>
      <c r="S382" s="5"/>
      <c r="T382" s="5" t="s">
        <v>42</v>
      </c>
    </row>
    <row r="383">
      <c r="A383" s="25">
        <v>43866.0</v>
      </c>
      <c r="B383" s="28">
        <v>0.4263888888888889</v>
      </c>
      <c r="C383" s="5" t="s">
        <v>418</v>
      </c>
      <c r="D383" s="29">
        <v>43868.0</v>
      </c>
      <c r="E383" s="5">
        <v>465.0</v>
      </c>
      <c r="F383" s="5" t="s">
        <v>32</v>
      </c>
      <c r="G383" s="5">
        <v>480.91</v>
      </c>
      <c r="H383" s="5">
        <v>376.0</v>
      </c>
      <c r="I383" s="5">
        <v>2.51</v>
      </c>
      <c r="J383" s="5" t="s">
        <v>39</v>
      </c>
      <c r="K383" s="5">
        <v>446.0</v>
      </c>
      <c r="L383" s="5">
        <v>547.0</v>
      </c>
      <c r="M383" s="30">
        <v>94225.0</v>
      </c>
      <c r="N383" s="15" t="str">
        <f t="array" ref="N383">IFERROR(VLOOKUP(T383,Ref_sheet!$A$1:$B$8,2,FALSE))</f>
        <v/>
      </c>
      <c r="O383" s="12">
        <v>49.0</v>
      </c>
      <c r="P383" s="5" t="s">
        <v>40</v>
      </c>
      <c r="Q383" s="5"/>
      <c r="R383" s="5" t="s">
        <v>35</v>
      </c>
      <c r="S383" s="5"/>
      <c r="T383" s="5" t="s">
        <v>46</v>
      </c>
    </row>
    <row r="384">
      <c r="A384" s="25">
        <v>43866.0</v>
      </c>
      <c r="B384" s="28">
        <v>0.425</v>
      </c>
      <c r="C384" s="5" t="s">
        <v>60</v>
      </c>
      <c r="D384" s="29">
        <v>43882.0</v>
      </c>
      <c r="E384" s="5">
        <v>2020.0</v>
      </c>
      <c r="F384" s="5" t="s">
        <v>38</v>
      </c>
      <c r="G384" s="5">
        <v>2047.06</v>
      </c>
      <c r="H384" s="5">
        <v>75.0</v>
      </c>
      <c r="I384" s="5">
        <v>55.0</v>
      </c>
      <c r="J384" s="5" t="s">
        <v>39</v>
      </c>
      <c r="K384" s="5">
        <v>138.0</v>
      </c>
      <c r="L384" s="5">
        <v>777.0</v>
      </c>
      <c r="M384" s="30">
        <v>412500.0</v>
      </c>
      <c r="N384" s="15" t="str">
        <f t="array" ref="N384">IFERROR(VLOOKUP(T384,Ref_sheet!$A$1:$B$8,2,FALSE))</f>
        <v/>
      </c>
      <c r="O384" s="12">
        <v>28.0</v>
      </c>
      <c r="P384" s="5" t="s">
        <v>51</v>
      </c>
      <c r="Q384" s="5"/>
      <c r="R384" s="5" t="s">
        <v>41</v>
      </c>
      <c r="S384" s="5"/>
      <c r="T384" s="5" t="s">
        <v>46</v>
      </c>
    </row>
    <row r="385">
      <c r="A385" s="25">
        <v>43866.0</v>
      </c>
      <c r="B385" s="28">
        <v>0.425</v>
      </c>
      <c r="C385" s="5" t="s">
        <v>268</v>
      </c>
      <c r="D385" s="29">
        <v>43868.0</v>
      </c>
      <c r="E385" s="5">
        <v>380.0</v>
      </c>
      <c r="F385" s="5" t="s">
        <v>38</v>
      </c>
      <c r="G385" s="5">
        <v>368.58</v>
      </c>
      <c r="H385" s="5">
        <v>200.0</v>
      </c>
      <c r="I385" s="5">
        <v>1.58</v>
      </c>
      <c r="J385" s="5" t="s">
        <v>39</v>
      </c>
      <c r="K385" s="5">
        <v>4175.0</v>
      </c>
      <c r="L385" s="5">
        <v>2324.0</v>
      </c>
      <c r="M385" s="30">
        <v>31600.0</v>
      </c>
      <c r="N385" s="15" t="str">
        <f t="array" ref="N385">IFERROR(VLOOKUP(T385,Ref_sheet!$A$1:$B$8,2,FALSE))</f>
        <v/>
      </c>
      <c r="O385" s="12">
        <v>16.0</v>
      </c>
      <c r="P385" s="5" t="s">
        <v>51</v>
      </c>
      <c r="Q385" s="5"/>
      <c r="R385" s="5" t="s">
        <v>41</v>
      </c>
      <c r="S385" s="5"/>
      <c r="T385" s="5" t="s">
        <v>36</v>
      </c>
    </row>
    <row r="386">
      <c r="A386" s="25">
        <v>43866.0</v>
      </c>
      <c r="B386" s="28">
        <v>0.425</v>
      </c>
      <c r="C386" s="5" t="s">
        <v>113</v>
      </c>
      <c r="D386" s="29">
        <v>43868.0</v>
      </c>
      <c r="E386" s="5">
        <v>41.5</v>
      </c>
      <c r="F386" s="5" t="s">
        <v>32</v>
      </c>
      <c r="G386" s="5">
        <v>41.44</v>
      </c>
      <c r="H386" s="5">
        <v>878.0</v>
      </c>
      <c r="I386" s="5">
        <v>0.46</v>
      </c>
      <c r="J386" s="5" t="s">
        <v>39</v>
      </c>
      <c r="K386" s="5">
        <v>1234.0</v>
      </c>
      <c r="L386" s="5">
        <v>633.0</v>
      </c>
      <c r="M386" s="30">
        <v>40388.0</v>
      </c>
      <c r="N386" s="15" t="str">
        <f t="array" ref="N386">IFERROR(VLOOKUP(T386,Ref_sheet!$A$1:$B$8,2,FALSE))</f>
        <v/>
      </c>
      <c r="O386" s="12">
        <v>52.0</v>
      </c>
      <c r="P386" s="5" t="s">
        <v>34</v>
      </c>
      <c r="Q386" s="5"/>
      <c r="R386" s="5" t="s">
        <v>35</v>
      </c>
      <c r="S386" s="5"/>
      <c r="T386" s="5" t="s">
        <v>42</v>
      </c>
    </row>
    <row r="387">
      <c r="A387" s="25">
        <v>43866.0</v>
      </c>
      <c r="B387" s="28">
        <v>0.42430555555555555</v>
      </c>
      <c r="C387" s="5" t="s">
        <v>166</v>
      </c>
      <c r="D387" s="29">
        <v>43882.0</v>
      </c>
      <c r="E387" s="5">
        <v>16.5</v>
      </c>
      <c r="F387" s="5" t="s">
        <v>38</v>
      </c>
      <c r="G387" s="5">
        <v>15.84</v>
      </c>
      <c r="H387" s="5">
        <v>782.0</v>
      </c>
      <c r="I387" s="5">
        <v>0.36</v>
      </c>
      <c r="J387" s="5" t="s">
        <v>39</v>
      </c>
      <c r="K387" s="5">
        <v>785.0</v>
      </c>
      <c r="L387" s="5">
        <v>26.0</v>
      </c>
      <c r="M387" s="30">
        <v>28047.0</v>
      </c>
      <c r="N387" s="15" t="str">
        <f t="array" ref="N387">IFERROR(VLOOKUP(T387,Ref_sheet!$A$1:$B$8,2,FALSE))</f>
        <v/>
      </c>
      <c r="O387" s="12">
        <v>52.0</v>
      </c>
      <c r="P387" s="5" t="s">
        <v>45</v>
      </c>
      <c r="Q387" s="5"/>
      <c r="R387" s="5" t="s">
        <v>41</v>
      </c>
      <c r="S387" s="5"/>
      <c r="T387" s="5" t="s">
        <v>42</v>
      </c>
    </row>
    <row r="388">
      <c r="A388" s="25">
        <v>43866.0</v>
      </c>
      <c r="B388" s="28">
        <v>0.42430555555555555</v>
      </c>
      <c r="C388" s="5" t="s">
        <v>328</v>
      </c>
      <c r="D388" s="29">
        <v>43882.0</v>
      </c>
      <c r="E388" s="5">
        <v>322.5</v>
      </c>
      <c r="F388" s="5" t="s">
        <v>38</v>
      </c>
      <c r="G388" s="5">
        <v>321.4</v>
      </c>
      <c r="H388" s="5">
        <v>196.0</v>
      </c>
      <c r="I388" s="5">
        <v>5.55</v>
      </c>
      <c r="J388" s="5" t="s">
        <v>39</v>
      </c>
      <c r="K388" s="5">
        <v>928.0</v>
      </c>
      <c r="L388" s="5">
        <v>449.0</v>
      </c>
      <c r="M388" s="30">
        <v>108780.0</v>
      </c>
      <c r="N388" s="15" t="str">
        <f t="array" ref="N388">IFERROR(VLOOKUP(T388,Ref_sheet!$A$1:$B$8,2,FALSE))</f>
        <v/>
      </c>
      <c r="O388" s="12">
        <v>28.0</v>
      </c>
      <c r="P388" s="5" t="s">
        <v>182</v>
      </c>
      <c r="Q388" s="5"/>
      <c r="R388" s="5" t="s">
        <v>41</v>
      </c>
      <c r="S388" s="5"/>
      <c r="T388" s="5" t="s">
        <v>36</v>
      </c>
    </row>
    <row r="389">
      <c r="A389" s="25">
        <v>43866.0</v>
      </c>
      <c r="B389" s="28">
        <v>0.4236111111111111</v>
      </c>
      <c r="C389" s="5" t="s">
        <v>62</v>
      </c>
      <c r="D389" s="29">
        <v>43868.0</v>
      </c>
      <c r="E389" s="5">
        <v>182.5</v>
      </c>
      <c r="F389" s="5" t="s">
        <v>38</v>
      </c>
      <c r="G389" s="5">
        <v>181.8</v>
      </c>
      <c r="H389" s="5">
        <v>271.0</v>
      </c>
      <c r="I389" s="5">
        <v>1.41</v>
      </c>
      <c r="J389" s="5" t="s">
        <v>39</v>
      </c>
      <c r="K389" s="5">
        <v>8214.0</v>
      </c>
      <c r="L389" s="5">
        <v>6502.0</v>
      </c>
      <c r="M389" s="30">
        <v>38238.0</v>
      </c>
      <c r="N389" s="15" t="str">
        <f t="array" ref="N389">IFERROR(VLOOKUP(T389,Ref_sheet!$A$1:$B$8,2,FALSE))</f>
        <v/>
      </c>
      <c r="O389" s="12">
        <v>14.0</v>
      </c>
      <c r="P389" s="5" t="s">
        <v>40</v>
      </c>
      <c r="Q389" s="5"/>
      <c r="R389" s="5" t="s">
        <v>41</v>
      </c>
      <c r="S389" s="5"/>
      <c r="T389" s="5" t="s">
        <v>36</v>
      </c>
    </row>
    <row r="390">
      <c r="A390" s="25">
        <v>43866.0</v>
      </c>
      <c r="B390" s="28">
        <v>0.4236111111111111</v>
      </c>
      <c r="C390" s="5" t="s">
        <v>328</v>
      </c>
      <c r="D390" s="29">
        <v>43882.0</v>
      </c>
      <c r="E390" s="5">
        <v>322.5</v>
      </c>
      <c r="F390" s="5" t="s">
        <v>38</v>
      </c>
      <c r="G390" s="5">
        <v>321.5</v>
      </c>
      <c r="H390" s="5">
        <v>137.0</v>
      </c>
      <c r="I390" s="5">
        <v>5.55</v>
      </c>
      <c r="J390" s="5" t="s">
        <v>48</v>
      </c>
      <c r="K390" s="5">
        <v>723.0</v>
      </c>
      <c r="L390" s="5">
        <v>449.0</v>
      </c>
      <c r="M390" s="30">
        <v>76035.0</v>
      </c>
      <c r="N390" s="15" t="str">
        <f t="array" ref="N390">IFERROR(VLOOKUP(T390,Ref_sheet!$A$1:$B$8,2,FALSE))</f>
        <v/>
      </c>
      <c r="O390" s="12">
        <v>21.0</v>
      </c>
      <c r="P390" s="5" t="s">
        <v>182</v>
      </c>
      <c r="Q390" s="5"/>
      <c r="R390" s="5" t="s">
        <v>41</v>
      </c>
      <c r="S390" s="5"/>
      <c r="T390" s="5" t="s">
        <v>36</v>
      </c>
    </row>
    <row r="391">
      <c r="A391" s="25">
        <v>43866.0</v>
      </c>
      <c r="B391" s="28">
        <v>0.42291666666666666</v>
      </c>
      <c r="C391" s="5" t="s">
        <v>443</v>
      </c>
      <c r="D391" s="29">
        <v>43903.0</v>
      </c>
      <c r="E391" s="5">
        <v>200.0</v>
      </c>
      <c r="F391" s="5" t="s">
        <v>32</v>
      </c>
      <c r="G391" s="5">
        <v>210.84</v>
      </c>
      <c r="H391" s="5">
        <v>500.0</v>
      </c>
      <c r="I391" s="5">
        <v>3.13</v>
      </c>
      <c r="J391" s="5" t="s">
        <v>39</v>
      </c>
      <c r="K391" s="5">
        <v>5865.0</v>
      </c>
      <c r="L391" s="5">
        <v>20676.0</v>
      </c>
      <c r="M391" s="30">
        <v>156500.0</v>
      </c>
      <c r="N391" s="15" t="str">
        <f t="array" ref="N391">IFERROR(VLOOKUP(T391,Ref_sheet!$A$1:$B$8,2,FALSE))</f>
        <v/>
      </c>
      <c r="O391" s="12">
        <v>10.0</v>
      </c>
      <c r="P391" s="5" t="s">
        <v>40</v>
      </c>
      <c r="Q391" s="5"/>
      <c r="R391" s="5" t="s">
        <v>35</v>
      </c>
      <c r="S391" s="5"/>
      <c r="T391" s="5" t="s">
        <v>46</v>
      </c>
    </row>
    <row r="392">
      <c r="A392" s="25">
        <v>43866.0</v>
      </c>
      <c r="B392" s="28">
        <v>0.42291666666666666</v>
      </c>
      <c r="C392" s="5" t="s">
        <v>424</v>
      </c>
      <c r="D392" s="29">
        <v>43882.0</v>
      </c>
      <c r="E392" s="5">
        <v>35.0</v>
      </c>
      <c r="F392" s="5" t="s">
        <v>38</v>
      </c>
      <c r="G392" s="5">
        <v>33.37</v>
      </c>
      <c r="H392" s="5">
        <v>1000.0</v>
      </c>
      <c r="I392" s="5">
        <v>0.64</v>
      </c>
      <c r="J392" s="5" t="s">
        <v>33</v>
      </c>
      <c r="K392" s="5">
        <v>1198.0</v>
      </c>
      <c r="L392" s="5">
        <v>2603.0</v>
      </c>
      <c r="M392" s="5">
        <v>64000.0</v>
      </c>
      <c r="N392" s="15" t="str">
        <f t="array" ref="N392">IFERROR(VLOOKUP(T392,Ref_sheet!$A$1:$B$8,2,FALSE))</f>
        <v/>
      </c>
      <c r="O392" s="12">
        <v>36.0</v>
      </c>
      <c r="P392" s="5" t="s">
        <v>51</v>
      </c>
      <c r="Q392" s="5"/>
      <c r="R392" s="5" t="s">
        <v>41</v>
      </c>
      <c r="S392" s="5"/>
      <c r="T392" s="5" t="s">
        <v>46</v>
      </c>
    </row>
    <row r="393">
      <c r="A393" s="25">
        <v>43866.0</v>
      </c>
      <c r="B393" s="28">
        <v>0.4222222222222222</v>
      </c>
      <c r="C393" s="5" t="s">
        <v>31</v>
      </c>
      <c r="D393" s="29">
        <v>43868.0</v>
      </c>
      <c r="E393" s="5">
        <v>334.0</v>
      </c>
      <c r="F393" s="5" t="s">
        <v>38</v>
      </c>
      <c r="G393" s="5">
        <v>331.94</v>
      </c>
      <c r="H393" s="5">
        <v>2005.0</v>
      </c>
      <c r="I393" s="5">
        <v>0.64</v>
      </c>
      <c r="J393" s="5" t="s">
        <v>39</v>
      </c>
      <c r="K393" s="5">
        <v>6938.0</v>
      </c>
      <c r="L393" s="5">
        <v>12382.0</v>
      </c>
      <c r="M393" s="5">
        <v>128320.0</v>
      </c>
      <c r="N393" s="15" t="str">
        <f t="array" ref="N393">IFERROR(VLOOKUP(T393,Ref_sheet!$A$1:$B$8,2,FALSE))</f>
        <v/>
      </c>
      <c r="O393" s="12">
        <v>27.0</v>
      </c>
      <c r="P393" s="5" t="s">
        <v>34</v>
      </c>
      <c r="Q393" s="5"/>
      <c r="R393" s="5" t="s">
        <v>41</v>
      </c>
      <c r="S393" s="5"/>
      <c r="T393" s="5" t="s">
        <v>46</v>
      </c>
    </row>
    <row r="394">
      <c r="A394" s="25">
        <v>43866.0</v>
      </c>
      <c r="B394" s="28">
        <v>0.4222222222222222</v>
      </c>
      <c r="C394" s="5" t="s">
        <v>432</v>
      </c>
      <c r="D394" s="29">
        <v>43910.0</v>
      </c>
      <c r="E394" s="5">
        <v>4.0</v>
      </c>
      <c r="F394" s="5" t="s">
        <v>38</v>
      </c>
      <c r="G394" s="5">
        <v>4.14</v>
      </c>
      <c r="H394" s="5">
        <v>700.0</v>
      </c>
      <c r="I394" s="5">
        <v>1.2</v>
      </c>
      <c r="J394" s="5" t="s">
        <v>39</v>
      </c>
      <c r="K394" s="5">
        <v>707.0</v>
      </c>
      <c r="L394" s="5">
        <v>5067.0</v>
      </c>
      <c r="M394" s="5">
        <v>84000.0</v>
      </c>
      <c r="N394" s="15" t="str">
        <f t="array" ref="N394">IFERROR(VLOOKUP(T394,Ref_sheet!$A$1:$B$8,2,FALSE))</f>
        <v/>
      </c>
      <c r="O394" s="12">
        <v>28.0</v>
      </c>
      <c r="P394" s="5" t="s">
        <v>40</v>
      </c>
      <c r="Q394" s="5"/>
      <c r="R394" s="5" t="s">
        <v>41</v>
      </c>
      <c r="S394" s="5"/>
      <c r="T394" s="5" t="s">
        <v>46</v>
      </c>
    </row>
    <row r="395">
      <c r="A395" s="25">
        <v>43866.0</v>
      </c>
      <c r="B395" s="28">
        <v>0.4222222222222222</v>
      </c>
      <c r="C395" s="5" t="s">
        <v>209</v>
      </c>
      <c r="D395" s="29">
        <v>44001.0</v>
      </c>
      <c r="E395" s="5">
        <v>30.0</v>
      </c>
      <c r="F395" s="5" t="s">
        <v>32</v>
      </c>
      <c r="G395" s="5">
        <v>35.48</v>
      </c>
      <c r="H395" s="5">
        <v>2500.0</v>
      </c>
      <c r="I395" s="5">
        <v>1.14</v>
      </c>
      <c r="J395" s="5" t="s">
        <v>48</v>
      </c>
      <c r="K395" s="5">
        <v>5003.0</v>
      </c>
      <c r="L395" s="5">
        <v>17438.0</v>
      </c>
      <c r="M395" s="5">
        <v>285000.0</v>
      </c>
      <c r="N395" s="15" t="str">
        <f t="array" ref="N395">IFERROR(VLOOKUP(T395,Ref_sheet!$A$1:$B$8,2,FALSE))</f>
        <v/>
      </c>
      <c r="O395" s="12">
        <v>19.0</v>
      </c>
      <c r="P395" s="5" t="s">
        <v>64</v>
      </c>
      <c r="Q395" s="5"/>
      <c r="R395" s="5" t="s">
        <v>35</v>
      </c>
      <c r="S395" s="5"/>
      <c r="T395" s="5" t="s">
        <v>46</v>
      </c>
    </row>
    <row r="396">
      <c r="A396" s="25">
        <v>43866.0</v>
      </c>
      <c r="B396" s="28">
        <v>0.4222222222222222</v>
      </c>
      <c r="C396" s="5" t="s">
        <v>424</v>
      </c>
      <c r="D396" s="29">
        <v>43910.0</v>
      </c>
      <c r="E396" s="5">
        <v>34.0</v>
      </c>
      <c r="F396" s="5" t="s">
        <v>38</v>
      </c>
      <c r="G396" s="5">
        <v>33.37</v>
      </c>
      <c r="H396" s="5">
        <v>1482.0</v>
      </c>
      <c r="I396" s="5">
        <v>2.05</v>
      </c>
      <c r="J396" s="5" t="s">
        <v>39</v>
      </c>
      <c r="K396" s="5">
        <v>1485.0</v>
      </c>
      <c r="L396" s="5">
        <v>521.0</v>
      </c>
      <c r="M396" s="5">
        <v>303750.0</v>
      </c>
      <c r="N396" s="15" t="str">
        <f t="array" ref="N396">IFERROR(VLOOKUP(T396,Ref_sheet!$A$1:$B$8,2,FALSE))</f>
        <v/>
      </c>
      <c r="O396" s="12">
        <v>54.0</v>
      </c>
      <c r="P396" s="5" t="s">
        <v>51</v>
      </c>
      <c r="Q396" s="5"/>
      <c r="R396" s="5" t="s">
        <v>41</v>
      </c>
      <c r="S396" s="5"/>
      <c r="T396" s="5" t="s">
        <v>42</v>
      </c>
    </row>
    <row r="397">
      <c r="A397" s="25">
        <v>43866.0</v>
      </c>
      <c r="B397" s="28">
        <v>0.4215277777777778</v>
      </c>
      <c r="C397" s="5" t="s">
        <v>60</v>
      </c>
      <c r="D397" s="29">
        <v>43875.0</v>
      </c>
      <c r="E397" s="5">
        <v>2070.0</v>
      </c>
      <c r="F397" s="5" t="s">
        <v>38</v>
      </c>
      <c r="G397" s="5">
        <v>2052.41</v>
      </c>
      <c r="H397" s="5">
        <v>136.0</v>
      </c>
      <c r="I397" s="5">
        <v>24.73</v>
      </c>
      <c r="J397" s="5" t="s">
        <v>39</v>
      </c>
      <c r="K397" s="5">
        <v>380.0</v>
      </c>
      <c r="L397" s="5">
        <v>216.0</v>
      </c>
      <c r="M397" s="5">
        <v>336273.0</v>
      </c>
      <c r="N397" s="15" t="str">
        <f t="array" ref="N397">IFERROR(VLOOKUP(T397,Ref_sheet!$A$1:$B$8,2,FALSE))</f>
        <v/>
      </c>
      <c r="O397" s="12">
        <v>40.0</v>
      </c>
      <c r="P397" s="5" t="s">
        <v>51</v>
      </c>
      <c r="Q397" s="5"/>
      <c r="R397" s="5" t="s">
        <v>41</v>
      </c>
      <c r="S397" s="5"/>
      <c r="T397" s="5" t="s">
        <v>36</v>
      </c>
    </row>
    <row r="398">
      <c r="A398" s="25">
        <v>43866.0</v>
      </c>
      <c r="B398" s="28">
        <v>0.4215277777777778</v>
      </c>
      <c r="C398" s="5" t="s">
        <v>415</v>
      </c>
      <c r="D398" s="29">
        <v>43875.0</v>
      </c>
      <c r="E398" s="5">
        <v>220.0</v>
      </c>
      <c r="F398" s="5" t="s">
        <v>38</v>
      </c>
      <c r="G398" s="5">
        <v>219.55</v>
      </c>
      <c r="H398" s="5">
        <v>1000.0</v>
      </c>
      <c r="I398" s="5">
        <v>6.0</v>
      </c>
      <c r="J398" s="5" t="s">
        <v>48</v>
      </c>
      <c r="K398" s="5">
        <v>1260.0</v>
      </c>
      <c r="L398" s="5">
        <v>3265.0</v>
      </c>
      <c r="M398" s="5">
        <v>600000.0</v>
      </c>
      <c r="N398" s="15" t="str">
        <f t="array" ref="N398">IFERROR(VLOOKUP(T398,Ref_sheet!$A$1:$B$8,2,FALSE))</f>
        <v/>
      </c>
      <c r="O398" s="12">
        <v>41.0</v>
      </c>
      <c r="P398" s="5" t="s">
        <v>51</v>
      </c>
      <c r="Q398" s="5"/>
      <c r="R398" s="5" t="s">
        <v>41</v>
      </c>
      <c r="S398" s="5"/>
      <c r="T398" s="5" t="s">
        <v>46</v>
      </c>
    </row>
    <row r="399">
      <c r="A399" s="25">
        <v>43866.0</v>
      </c>
      <c r="B399" s="28">
        <v>0.42083333333333334</v>
      </c>
      <c r="C399" s="5" t="s">
        <v>209</v>
      </c>
      <c r="D399" s="29">
        <v>44001.0</v>
      </c>
      <c r="E399" s="5">
        <v>30.0</v>
      </c>
      <c r="F399" s="5" t="s">
        <v>32</v>
      </c>
      <c r="G399" s="5">
        <v>35.59</v>
      </c>
      <c r="H399" s="5">
        <v>2500.0</v>
      </c>
      <c r="I399" s="5">
        <v>1.14</v>
      </c>
      <c r="J399" s="5" t="s">
        <v>48</v>
      </c>
      <c r="K399" s="5">
        <v>2503.0</v>
      </c>
      <c r="L399" s="5">
        <v>17438.0</v>
      </c>
      <c r="M399" s="5">
        <v>285000.0</v>
      </c>
      <c r="N399" s="15" t="str">
        <f t="array" ref="N399">IFERROR(VLOOKUP(T399,Ref_sheet!$A$1:$B$8,2,FALSE))</f>
        <v/>
      </c>
      <c r="O399" s="12">
        <v>29.0</v>
      </c>
      <c r="P399" s="5" t="s">
        <v>64</v>
      </c>
      <c r="Q399" s="5"/>
      <c r="R399" s="5" t="s">
        <v>35</v>
      </c>
      <c r="S399" s="5"/>
      <c r="T399" s="5" t="s">
        <v>46</v>
      </c>
    </row>
    <row r="400">
      <c r="A400" s="25">
        <v>43866.0</v>
      </c>
      <c r="B400" s="28">
        <v>0.42083333333333334</v>
      </c>
      <c r="C400" s="5" t="s">
        <v>166</v>
      </c>
      <c r="D400" s="29">
        <v>43868.0</v>
      </c>
      <c r="E400" s="5">
        <v>15.5</v>
      </c>
      <c r="F400" s="5" t="s">
        <v>32</v>
      </c>
      <c r="G400" s="5">
        <v>15.87</v>
      </c>
      <c r="H400" s="5">
        <v>705.0</v>
      </c>
      <c r="I400" s="5">
        <v>0.23</v>
      </c>
      <c r="J400" s="5" t="s">
        <v>39</v>
      </c>
      <c r="K400" s="5">
        <v>705.0</v>
      </c>
      <c r="L400" s="5">
        <v>377.0</v>
      </c>
      <c r="M400" s="5">
        <v>16215.0</v>
      </c>
      <c r="N400" s="15" t="str">
        <f t="array" ref="N400">IFERROR(VLOOKUP(T400,Ref_sheet!$A$1:$B$8,2,FALSE))</f>
        <v/>
      </c>
      <c r="O400" s="12">
        <v>58.0</v>
      </c>
      <c r="P400" s="5" t="s">
        <v>45</v>
      </c>
      <c r="Q400" s="5"/>
      <c r="R400" s="5" t="s">
        <v>35</v>
      </c>
      <c r="S400" s="5"/>
      <c r="T400" s="5" t="s">
        <v>42</v>
      </c>
    </row>
    <row r="401">
      <c r="A401" s="25">
        <v>43866.0</v>
      </c>
      <c r="B401" s="28">
        <v>0.4201388888888889</v>
      </c>
      <c r="C401" s="5" t="s">
        <v>362</v>
      </c>
      <c r="D401" s="29">
        <v>43868.0</v>
      </c>
      <c r="E401" s="5">
        <v>48.0</v>
      </c>
      <c r="F401" s="5" t="s">
        <v>38</v>
      </c>
      <c r="G401" s="5">
        <v>48.55</v>
      </c>
      <c r="H401" s="5">
        <v>500.0</v>
      </c>
      <c r="I401" s="5">
        <v>0.72</v>
      </c>
      <c r="J401" s="5" t="s">
        <v>48</v>
      </c>
      <c r="K401" s="5">
        <v>1362.0</v>
      </c>
      <c r="L401" s="5">
        <v>5734.0</v>
      </c>
      <c r="M401" s="5">
        <v>36000.0</v>
      </c>
      <c r="N401" s="15" t="str">
        <f t="array" ref="N401">IFERROR(VLOOKUP(T401,Ref_sheet!$A$1:$B$8,2,FALSE))</f>
        <v/>
      </c>
      <c r="O401" s="12">
        <v>22.0</v>
      </c>
      <c r="P401" s="5" t="s">
        <v>40</v>
      </c>
      <c r="Q401" s="5"/>
      <c r="R401" s="5" t="s">
        <v>41</v>
      </c>
      <c r="S401" s="5"/>
      <c r="T401" s="5" t="s">
        <v>46</v>
      </c>
    </row>
    <row r="402">
      <c r="A402" s="25">
        <v>43866.0</v>
      </c>
      <c r="B402" s="28">
        <v>0.4201388888888889</v>
      </c>
      <c r="C402" s="5" t="s">
        <v>461</v>
      </c>
      <c r="D402" s="29">
        <v>43868.0</v>
      </c>
      <c r="E402" s="5">
        <v>340.0</v>
      </c>
      <c r="F402" s="5" t="s">
        <v>38</v>
      </c>
      <c r="G402" s="5">
        <v>326.59</v>
      </c>
      <c r="H402" s="5">
        <v>752.0</v>
      </c>
      <c r="I402" s="5">
        <v>0.5</v>
      </c>
      <c r="J402" s="5" t="s">
        <v>39</v>
      </c>
      <c r="K402" s="5">
        <v>1704.0</v>
      </c>
      <c r="L402" s="5">
        <v>1815.0</v>
      </c>
      <c r="M402" s="5">
        <v>37600.0</v>
      </c>
      <c r="N402" s="15" t="str">
        <f t="array" ref="N402">IFERROR(VLOOKUP(T402,Ref_sheet!$A$1:$B$8,2,FALSE))</f>
        <v/>
      </c>
      <c r="O402" s="12">
        <v>32.0</v>
      </c>
      <c r="P402" s="5" t="s">
        <v>40</v>
      </c>
      <c r="Q402" s="5"/>
      <c r="R402" s="5" t="s">
        <v>41</v>
      </c>
      <c r="S402" s="5"/>
      <c r="T402" s="5" t="s">
        <v>46</v>
      </c>
    </row>
    <row r="403">
      <c r="A403" s="25">
        <v>43866.0</v>
      </c>
      <c r="B403" s="28">
        <v>0.41944444444444445</v>
      </c>
      <c r="C403" s="5" t="s">
        <v>446</v>
      </c>
      <c r="D403" s="29">
        <v>43966.0</v>
      </c>
      <c r="E403" s="5">
        <v>60.0</v>
      </c>
      <c r="F403" s="5" t="s">
        <v>38</v>
      </c>
      <c r="G403" s="5">
        <v>59.37</v>
      </c>
      <c r="H403" s="5">
        <v>657.0</v>
      </c>
      <c r="I403" s="5">
        <v>3.6</v>
      </c>
      <c r="J403" s="5" t="s">
        <v>39</v>
      </c>
      <c r="K403" s="5">
        <v>660.0</v>
      </c>
      <c r="L403" s="5">
        <v>742.0</v>
      </c>
      <c r="M403" s="5">
        <v>236510.0</v>
      </c>
      <c r="N403" s="15" t="str">
        <f t="array" ref="N403">IFERROR(VLOOKUP(T403,Ref_sheet!$A$1:$B$8,2,FALSE))</f>
        <v/>
      </c>
      <c r="O403" s="12">
        <v>47.0</v>
      </c>
      <c r="P403" s="5" t="s">
        <v>45</v>
      </c>
      <c r="Q403" s="5"/>
      <c r="R403" s="5" t="s">
        <v>41</v>
      </c>
      <c r="S403" s="5"/>
      <c r="T403" s="5" t="s">
        <v>46</v>
      </c>
    </row>
    <row r="404">
      <c r="A404" s="25">
        <v>43866.0</v>
      </c>
      <c r="B404" s="28">
        <v>0.41944444444444445</v>
      </c>
      <c r="C404" s="5" t="s">
        <v>82</v>
      </c>
      <c r="D404" s="29">
        <v>43875.0</v>
      </c>
      <c r="E404" s="5">
        <v>6.5</v>
      </c>
      <c r="F404" s="5" t="s">
        <v>38</v>
      </c>
      <c r="G404" s="5">
        <v>6.23</v>
      </c>
      <c r="H404" s="5">
        <v>549.0</v>
      </c>
      <c r="I404" s="5">
        <v>0.26</v>
      </c>
      <c r="J404" s="5" t="s">
        <v>39</v>
      </c>
      <c r="K404" s="5">
        <v>14335.0</v>
      </c>
      <c r="L404" s="5">
        <v>973.0</v>
      </c>
      <c r="M404" s="5">
        <v>14274.0</v>
      </c>
      <c r="N404" s="15" t="str">
        <f t="array" ref="N404">IFERROR(VLOOKUP(T404,Ref_sheet!$A$1:$B$8,2,FALSE))</f>
        <v/>
      </c>
      <c r="O404" s="12">
        <v>25.0</v>
      </c>
      <c r="P404" s="5" t="s">
        <v>40</v>
      </c>
      <c r="Q404" s="5"/>
      <c r="R404" s="5" t="s">
        <v>41</v>
      </c>
      <c r="S404" s="5"/>
      <c r="T404" s="5" t="s">
        <v>36</v>
      </c>
    </row>
    <row r="405">
      <c r="A405" s="25">
        <v>43866.0</v>
      </c>
      <c r="B405" s="28">
        <v>0.41944444444444445</v>
      </c>
      <c r="C405" s="5" t="s">
        <v>31</v>
      </c>
      <c r="D405" s="29">
        <v>43868.0</v>
      </c>
      <c r="E405" s="5">
        <v>332.0</v>
      </c>
      <c r="F405" s="5" t="s">
        <v>32</v>
      </c>
      <c r="G405" s="5">
        <v>332.02</v>
      </c>
      <c r="H405" s="5">
        <v>918.0</v>
      </c>
      <c r="I405" s="5">
        <v>1.5</v>
      </c>
      <c r="J405" s="5" t="s">
        <v>33</v>
      </c>
      <c r="K405" s="5">
        <v>7241.0</v>
      </c>
      <c r="L405" s="5">
        <v>3416.0</v>
      </c>
      <c r="M405" s="5">
        <v>137700.0</v>
      </c>
      <c r="N405" s="15" t="str">
        <f t="array" ref="N405">IFERROR(VLOOKUP(T405,Ref_sheet!$A$1:$B$8,2,FALSE))</f>
        <v/>
      </c>
      <c r="O405" s="12">
        <v>27.0</v>
      </c>
      <c r="P405" s="5" t="s">
        <v>34</v>
      </c>
      <c r="Q405" s="5"/>
      <c r="R405" s="5" t="s">
        <v>35</v>
      </c>
      <c r="S405" s="5"/>
      <c r="T405" s="5" t="s">
        <v>36</v>
      </c>
    </row>
    <row r="406">
      <c r="A406" s="25">
        <v>43866.0</v>
      </c>
      <c r="B406" s="28">
        <v>0.41944444444444445</v>
      </c>
      <c r="C406" s="5" t="s">
        <v>76</v>
      </c>
      <c r="D406" s="29">
        <v>43882.0</v>
      </c>
      <c r="E406" s="5">
        <v>69.0</v>
      </c>
      <c r="F406" s="5" t="s">
        <v>38</v>
      </c>
      <c r="G406" s="5">
        <v>66.31</v>
      </c>
      <c r="H406" s="5">
        <v>800.0</v>
      </c>
      <c r="I406" s="5">
        <v>0.31</v>
      </c>
      <c r="J406" s="5" t="s">
        <v>33</v>
      </c>
      <c r="K406" s="5">
        <v>1620.0</v>
      </c>
      <c r="L406" s="5">
        <v>8890.0</v>
      </c>
      <c r="M406" s="5">
        <v>24800.0</v>
      </c>
      <c r="N406" s="15" t="str">
        <f t="array" ref="N406">IFERROR(VLOOKUP(T406,Ref_sheet!$A$1:$B$8,2,FALSE))</f>
        <v/>
      </c>
      <c r="O406" s="12">
        <v>20.0</v>
      </c>
      <c r="P406" s="5" t="s">
        <v>40</v>
      </c>
      <c r="Q406" s="5"/>
      <c r="R406" s="5" t="s">
        <v>41</v>
      </c>
      <c r="S406" s="5"/>
      <c r="T406" s="5" t="s">
        <v>46</v>
      </c>
    </row>
    <row r="407">
      <c r="A407" s="25">
        <v>43866.0</v>
      </c>
      <c r="B407" s="28">
        <v>0.41875</v>
      </c>
      <c r="C407" s="5" t="s">
        <v>60</v>
      </c>
      <c r="D407" s="29">
        <v>43882.0</v>
      </c>
      <c r="E407" s="5">
        <v>2120.0</v>
      </c>
      <c r="F407" s="5" t="s">
        <v>38</v>
      </c>
      <c r="G407" s="5">
        <v>2048.81</v>
      </c>
      <c r="H407" s="5">
        <v>66.0</v>
      </c>
      <c r="I407" s="5">
        <v>15.7</v>
      </c>
      <c r="J407" s="5" t="s">
        <v>48</v>
      </c>
      <c r="K407" s="5">
        <v>282.0</v>
      </c>
      <c r="L407" s="5">
        <v>597.0</v>
      </c>
      <c r="M407" s="5">
        <v>103620.0</v>
      </c>
      <c r="N407" s="15" t="str">
        <f t="array" ref="N407">IFERROR(VLOOKUP(T407,Ref_sheet!$A$1:$B$8,2,FALSE))</f>
        <v/>
      </c>
      <c r="O407" s="12">
        <v>20.0</v>
      </c>
      <c r="P407" s="5" t="s">
        <v>51</v>
      </c>
      <c r="Q407" s="5"/>
      <c r="R407" s="5" t="s">
        <v>41</v>
      </c>
      <c r="S407" s="5"/>
      <c r="T407" s="5" t="s">
        <v>46</v>
      </c>
    </row>
    <row r="408">
      <c r="A408" s="25">
        <v>43866.0</v>
      </c>
      <c r="B408" s="28">
        <v>0.41875</v>
      </c>
      <c r="C408" s="5" t="s">
        <v>43</v>
      </c>
      <c r="D408" s="29">
        <v>43910.0</v>
      </c>
      <c r="E408" s="5">
        <v>22.0</v>
      </c>
      <c r="F408" s="5" t="s">
        <v>38</v>
      </c>
      <c r="G408" s="5">
        <v>19.8</v>
      </c>
      <c r="H408" s="5">
        <v>2005.0</v>
      </c>
      <c r="I408" s="5">
        <v>0.22</v>
      </c>
      <c r="J408" s="5" t="s">
        <v>39</v>
      </c>
      <c r="K408" s="5">
        <v>3169.0</v>
      </c>
      <c r="L408" s="5">
        <v>45128.0</v>
      </c>
      <c r="M408" s="5">
        <v>44110.0</v>
      </c>
      <c r="N408" s="15" t="str">
        <f t="array" ref="N408">IFERROR(VLOOKUP(T408,Ref_sheet!$A$1:$B$8,2,FALSE))</f>
        <v/>
      </c>
      <c r="O408" s="12">
        <v>17.0</v>
      </c>
      <c r="P408" s="5" t="s">
        <v>34</v>
      </c>
      <c r="Q408" s="5"/>
      <c r="R408" s="5" t="s">
        <v>41</v>
      </c>
      <c r="S408" s="5"/>
      <c r="T408" s="5" t="s">
        <v>46</v>
      </c>
    </row>
    <row r="409">
      <c r="A409" s="25">
        <v>43866.0</v>
      </c>
      <c r="B409" s="28">
        <v>0.41875</v>
      </c>
      <c r="C409" s="5" t="s">
        <v>265</v>
      </c>
      <c r="D409" s="29">
        <v>43868.0</v>
      </c>
      <c r="E409" s="5">
        <v>3335.0</v>
      </c>
      <c r="F409" s="5" t="s">
        <v>38</v>
      </c>
      <c r="G409" s="5">
        <v>3328.62</v>
      </c>
      <c r="H409" s="5">
        <v>350.0</v>
      </c>
      <c r="I409" s="5">
        <v>11.8</v>
      </c>
      <c r="J409" s="5" t="s">
        <v>33</v>
      </c>
      <c r="K409" s="5">
        <v>805.0</v>
      </c>
      <c r="L409" s="5">
        <v>3446.0</v>
      </c>
      <c r="M409" s="5">
        <v>413000.0</v>
      </c>
      <c r="N409" s="15" t="str">
        <f t="array" ref="N409">IFERROR(VLOOKUP(T409,Ref_sheet!$A$1:$B$8,2,FALSE))</f>
        <v/>
      </c>
      <c r="O409" s="12">
        <v>31.0</v>
      </c>
      <c r="P409" s="5" t="s">
        <v>34</v>
      </c>
      <c r="Q409" s="5"/>
      <c r="R409" s="5" t="s">
        <v>41</v>
      </c>
      <c r="S409" s="5"/>
      <c r="T409" s="5" t="s">
        <v>46</v>
      </c>
    </row>
    <row r="410">
      <c r="A410" s="25">
        <v>43866.0</v>
      </c>
      <c r="B410" s="28">
        <v>0.41805555555555557</v>
      </c>
      <c r="C410" s="5" t="s">
        <v>60</v>
      </c>
      <c r="D410" s="29">
        <v>43868.0</v>
      </c>
      <c r="E410" s="5">
        <v>2100.0</v>
      </c>
      <c r="F410" s="5" t="s">
        <v>38</v>
      </c>
      <c r="G410" s="5">
        <v>2051.77</v>
      </c>
      <c r="H410" s="5">
        <v>196.0</v>
      </c>
      <c r="I410" s="5">
        <v>5.1</v>
      </c>
      <c r="J410" s="5" t="s">
        <v>48</v>
      </c>
      <c r="K410" s="5">
        <v>3974.0</v>
      </c>
      <c r="L410" s="5">
        <v>4568.0</v>
      </c>
      <c r="M410" s="5">
        <v>99959.0</v>
      </c>
      <c r="N410" s="15" t="str">
        <f t="array" ref="N410">IFERROR(VLOOKUP(T410,Ref_sheet!$A$1:$B$8,2,FALSE))</f>
        <v/>
      </c>
      <c r="O410" s="12">
        <v>17.0</v>
      </c>
      <c r="P410" s="5" t="s">
        <v>51</v>
      </c>
      <c r="Q410" s="5"/>
      <c r="R410" s="5" t="s">
        <v>41</v>
      </c>
      <c r="S410" s="5"/>
      <c r="T410" s="5" t="s">
        <v>46</v>
      </c>
    </row>
    <row r="411">
      <c r="A411" s="25">
        <v>43866.0</v>
      </c>
      <c r="B411" s="28">
        <v>0.41805555555555557</v>
      </c>
      <c r="C411" s="5" t="s">
        <v>437</v>
      </c>
      <c r="D411" s="29">
        <v>43938.0</v>
      </c>
      <c r="E411" s="5">
        <v>37.0</v>
      </c>
      <c r="F411" s="5" t="s">
        <v>38</v>
      </c>
      <c r="G411" s="5">
        <v>35.71</v>
      </c>
      <c r="H411" s="5">
        <v>558.0</v>
      </c>
      <c r="I411" s="5">
        <v>2.65</v>
      </c>
      <c r="J411" s="5" t="s">
        <v>39</v>
      </c>
      <c r="K411" s="5">
        <v>558.0</v>
      </c>
      <c r="L411" s="5">
        <v>3711.0</v>
      </c>
      <c r="M411" s="5">
        <v>147858.0</v>
      </c>
      <c r="N411" s="15" t="str">
        <f t="array" ref="N411">IFERROR(VLOOKUP(T411,Ref_sheet!$A$1:$B$8,2,FALSE))</f>
        <v/>
      </c>
      <c r="O411" s="12">
        <v>28.0</v>
      </c>
      <c r="P411" s="5" t="s">
        <v>51</v>
      </c>
      <c r="Q411" s="5"/>
      <c r="R411" s="5" t="s">
        <v>41</v>
      </c>
      <c r="S411" s="5"/>
      <c r="T411" s="5" t="s">
        <v>46</v>
      </c>
    </row>
    <row r="412">
      <c r="A412" s="25">
        <v>43866.0</v>
      </c>
      <c r="B412" s="28">
        <v>0.41805555555555557</v>
      </c>
      <c r="C412" s="5" t="s">
        <v>424</v>
      </c>
      <c r="D412" s="29">
        <v>43882.0</v>
      </c>
      <c r="E412" s="5">
        <v>31.0</v>
      </c>
      <c r="F412" s="5" t="s">
        <v>32</v>
      </c>
      <c r="G412" s="5">
        <v>33.34</v>
      </c>
      <c r="H412" s="5">
        <v>500.0</v>
      </c>
      <c r="I412" s="5">
        <v>0.5</v>
      </c>
      <c r="J412" s="5" t="s">
        <v>39</v>
      </c>
      <c r="K412" s="5">
        <v>571.0</v>
      </c>
      <c r="L412" s="5">
        <v>5640.0</v>
      </c>
      <c r="M412" s="5">
        <v>25000.0</v>
      </c>
      <c r="N412" s="15" t="str">
        <f t="array" ref="N412">IFERROR(VLOOKUP(T412,Ref_sheet!$A$1:$B$8,2,FALSE))</f>
        <v/>
      </c>
      <c r="O412" s="12">
        <v>27.0</v>
      </c>
      <c r="P412" s="5" t="s">
        <v>51</v>
      </c>
      <c r="Q412" s="5"/>
      <c r="R412" s="5" t="s">
        <v>35</v>
      </c>
      <c r="S412" s="5"/>
      <c r="T412" s="5" t="s">
        <v>46</v>
      </c>
    </row>
    <row r="413">
      <c r="A413" s="25">
        <v>43866.0</v>
      </c>
      <c r="B413" s="28">
        <v>0.41805555555555557</v>
      </c>
      <c r="C413" s="5" t="s">
        <v>37</v>
      </c>
      <c r="D413" s="29">
        <v>43868.0</v>
      </c>
      <c r="E413" s="5">
        <v>26.0</v>
      </c>
      <c r="F413" s="5" t="s">
        <v>38</v>
      </c>
      <c r="G413" s="5">
        <v>21.97</v>
      </c>
      <c r="H413" s="5">
        <v>801.0</v>
      </c>
      <c r="I413" s="5">
        <v>0.3</v>
      </c>
      <c r="J413" s="5" t="s">
        <v>39</v>
      </c>
      <c r="K413" s="5">
        <v>959.0</v>
      </c>
      <c r="L413" s="5">
        <v>431.0</v>
      </c>
      <c r="M413" s="5">
        <v>24030.0</v>
      </c>
      <c r="N413" s="15" t="str">
        <f t="array" ref="N413">IFERROR(VLOOKUP(T413,Ref_sheet!$A$1:$B$8,2,FALSE))</f>
        <v/>
      </c>
      <c r="O413" s="12">
        <v>79.0</v>
      </c>
      <c r="P413" s="5" t="s">
        <v>40</v>
      </c>
      <c r="Q413" s="5" t="b">
        <v>1</v>
      </c>
      <c r="R413" s="5" t="s">
        <v>41</v>
      </c>
      <c r="S413" s="5"/>
      <c r="T413" s="5" t="s">
        <v>66</v>
      </c>
    </row>
    <row r="414">
      <c r="A414" s="25">
        <v>43866.0</v>
      </c>
      <c r="B414" s="28">
        <v>0.4173611111111111</v>
      </c>
      <c r="C414" s="5" t="s">
        <v>447</v>
      </c>
      <c r="D414" s="29">
        <v>44029.0</v>
      </c>
      <c r="E414" s="5">
        <v>35.0</v>
      </c>
      <c r="F414" s="5" t="s">
        <v>38</v>
      </c>
      <c r="G414" s="5">
        <v>30.25</v>
      </c>
      <c r="H414" s="5">
        <v>2000.0</v>
      </c>
      <c r="I414" s="5">
        <v>1.04</v>
      </c>
      <c r="J414" s="5" t="s">
        <v>48</v>
      </c>
      <c r="K414" s="5">
        <v>2051.0</v>
      </c>
      <c r="L414" s="5">
        <v>251.0</v>
      </c>
      <c r="M414" s="5">
        <v>208000.0</v>
      </c>
      <c r="N414" s="15" t="str">
        <f t="array" ref="N414">IFERROR(VLOOKUP(T414,Ref_sheet!$A$1:$B$8,2,FALSE))</f>
        <v/>
      </c>
      <c r="O414" s="12">
        <v>50.0</v>
      </c>
      <c r="P414" s="5" t="s">
        <v>40</v>
      </c>
      <c r="Q414" s="5"/>
      <c r="R414" s="5" t="s">
        <v>41</v>
      </c>
      <c r="S414" s="5"/>
      <c r="T414" s="5" t="s">
        <v>42</v>
      </c>
    </row>
    <row r="415">
      <c r="A415" s="25">
        <v>43866.0</v>
      </c>
      <c r="B415" s="28">
        <v>0.4173611111111111</v>
      </c>
      <c r="C415" s="5" t="s">
        <v>444</v>
      </c>
      <c r="D415" s="29">
        <v>43875.0</v>
      </c>
      <c r="E415" s="5">
        <v>117.0</v>
      </c>
      <c r="F415" s="5" t="s">
        <v>32</v>
      </c>
      <c r="G415" s="5">
        <v>119.0</v>
      </c>
      <c r="H415" s="5">
        <v>600.0</v>
      </c>
      <c r="I415" s="5">
        <v>1.8</v>
      </c>
      <c r="J415" s="5" t="s">
        <v>39</v>
      </c>
      <c r="K415" s="5">
        <v>686.0</v>
      </c>
      <c r="L415" s="5">
        <v>56.0</v>
      </c>
      <c r="M415" s="5">
        <v>108000.0</v>
      </c>
      <c r="N415" s="15" t="str">
        <f t="array" ref="N415">IFERROR(VLOOKUP(T415,Ref_sheet!$A$1:$B$8,2,FALSE))</f>
        <v/>
      </c>
      <c r="O415" s="12">
        <v>57.0</v>
      </c>
      <c r="P415" s="5" t="s">
        <v>40</v>
      </c>
      <c r="Q415" s="5"/>
      <c r="R415" s="5" t="s">
        <v>35</v>
      </c>
      <c r="S415" s="5"/>
      <c r="T415" s="5" t="s">
        <v>42</v>
      </c>
    </row>
    <row r="416">
      <c r="A416" s="25">
        <v>43866.0</v>
      </c>
      <c r="B416" s="28">
        <v>0.4173611111111111</v>
      </c>
      <c r="C416" s="5" t="s">
        <v>448</v>
      </c>
      <c r="D416" s="29">
        <v>43896.0</v>
      </c>
      <c r="E416" s="5">
        <v>13.5</v>
      </c>
      <c r="F416" s="5" t="s">
        <v>32</v>
      </c>
      <c r="G416" s="5">
        <v>14.41</v>
      </c>
      <c r="H416" s="5">
        <v>800.0</v>
      </c>
      <c r="I416" s="5">
        <v>0.78</v>
      </c>
      <c r="J416" s="5" t="s">
        <v>39</v>
      </c>
      <c r="K416" s="5">
        <v>1517.0</v>
      </c>
      <c r="L416" s="5">
        <v>547.0</v>
      </c>
      <c r="M416" s="5">
        <v>62400.0</v>
      </c>
      <c r="N416" s="15" t="str">
        <f t="array" ref="N416">IFERROR(VLOOKUP(T416,Ref_sheet!$A$1:$B$8,2,FALSE))</f>
        <v/>
      </c>
      <c r="O416" s="12">
        <v>43.0</v>
      </c>
      <c r="P416" s="5" t="s">
        <v>34</v>
      </c>
      <c r="Q416" s="5"/>
      <c r="R416" s="5" t="s">
        <v>35</v>
      </c>
      <c r="S416" s="5"/>
      <c r="T416" s="5" t="s">
        <v>42</v>
      </c>
    </row>
    <row r="417">
      <c r="A417" s="25">
        <v>43866.0</v>
      </c>
      <c r="B417" s="28">
        <v>0.4173611111111111</v>
      </c>
      <c r="C417" s="5" t="s">
        <v>462</v>
      </c>
      <c r="D417" s="29">
        <v>43910.0</v>
      </c>
      <c r="E417" s="5">
        <v>65.0</v>
      </c>
      <c r="F417" s="5" t="s">
        <v>38</v>
      </c>
      <c r="G417" s="5">
        <v>63.93</v>
      </c>
      <c r="H417" s="5">
        <v>658.0</v>
      </c>
      <c r="I417" s="5">
        <v>0.57</v>
      </c>
      <c r="J417" s="5" t="s">
        <v>48</v>
      </c>
      <c r="K417" s="5">
        <v>5481.0</v>
      </c>
      <c r="L417" s="5">
        <v>5052.0</v>
      </c>
      <c r="M417" s="5">
        <v>37506.0</v>
      </c>
      <c r="N417" s="15" t="str">
        <f t="array" ref="N417">IFERROR(VLOOKUP(T417,Ref_sheet!$A$1:$B$8,2,FALSE))</f>
        <v/>
      </c>
      <c r="O417" s="12">
        <v>9.0</v>
      </c>
      <c r="P417" s="5" t="s">
        <v>34</v>
      </c>
      <c r="Q417" s="5"/>
      <c r="R417" s="5" t="s">
        <v>41</v>
      </c>
      <c r="S417" s="5"/>
      <c r="T417" s="5" t="s">
        <v>36</v>
      </c>
    </row>
    <row r="418">
      <c r="A418" s="25">
        <v>43866.0</v>
      </c>
      <c r="B418" s="28">
        <v>0.4166666666666667</v>
      </c>
      <c r="C418" s="5" t="s">
        <v>122</v>
      </c>
      <c r="D418" s="29">
        <v>43938.0</v>
      </c>
      <c r="E418" s="5">
        <v>34.0</v>
      </c>
      <c r="F418" s="5" t="s">
        <v>38</v>
      </c>
      <c r="G418" s="5">
        <v>34.3</v>
      </c>
      <c r="H418" s="5">
        <v>600.0</v>
      </c>
      <c r="I418" s="5">
        <v>1.45</v>
      </c>
      <c r="J418" s="5" t="s">
        <v>39</v>
      </c>
      <c r="K418" s="5">
        <v>1177.0</v>
      </c>
      <c r="L418" s="5">
        <v>5351.0</v>
      </c>
      <c r="M418" s="5">
        <v>87000.0</v>
      </c>
      <c r="N418" s="15" t="str">
        <f t="array" ref="N418">IFERROR(VLOOKUP(T418,Ref_sheet!$A$1:$B$8,2,FALSE))</f>
        <v/>
      </c>
      <c r="O418" s="12">
        <v>16.0</v>
      </c>
      <c r="P418" s="5" t="s">
        <v>162</v>
      </c>
      <c r="Q418" s="5"/>
      <c r="R418" s="5" t="s">
        <v>41</v>
      </c>
      <c r="S418" s="5"/>
      <c r="T418" s="5" t="s">
        <v>46</v>
      </c>
    </row>
    <row r="419">
      <c r="A419" s="25">
        <v>43866.0</v>
      </c>
      <c r="B419" s="28">
        <v>0.41597222222222224</v>
      </c>
      <c r="C419" s="5" t="s">
        <v>266</v>
      </c>
      <c r="D419" s="29">
        <v>43938.0</v>
      </c>
      <c r="E419" s="5">
        <v>41.0</v>
      </c>
      <c r="F419" s="5" t="s">
        <v>38</v>
      </c>
      <c r="G419" s="5">
        <v>38.27</v>
      </c>
      <c r="H419" s="5">
        <v>641.0</v>
      </c>
      <c r="I419" s="5">
        <v>0.3</v>
      </c>
      <c r="J419" s="5" t="s">
        <v>39</v>
      </c>
      <c r="K419" s="5">
        <v>641.0</v>
      </c>
      <c r="L419" s="5">
        <v>1082.0</v>
      </c>
      <c r="M419" s="5">
        <v>19230.0</v>
      </c>
      <c r="N419" s="15" t="str">
        <f t="array" ref="N419">IFERROR(VLOOKUP(T419,Ref_sheet!$A$1:$B$8,2,FALSE))</f>
        <v/>
      </c>
      <c r="O419" s="12">
        <v>37.0</v>
      </c>
      <c r="P419" s="5" t="s">
        <v>53</v>
      </c>
      <c r="Q419" s="5"/>
      <c r="R419" s="5" t="s">
        <v>41</v>
      </c>
      <c r="S419" s="5"/>
      <c r="T419" s="5" t="s">
        <v>46</v>
      </c>
    </row>
    <row r="420">
      <c r="A420" s="25">
        <v>43866.0</v>
      </c>
      <c r="B420" s="28">
        <v>0.4152777777777778</v>
      </c>
      <c r="C420" s="5" t="s">
        <v>68</v>
      </c>
      <c r="D420" s="29">
        <v>43875.0</v>
      </c>
      <c r="E420" s="5">
        <v>3.5</v>
      </c>
      <c r="F420" s="5" t="s">
        <v>38</v>
      </c>
      <c r="G420" s="5">
        <v>4.26</v>
      </c>
      <c r="H420" s="5">
        <v>1000.0</v>
      </c>
      <c r="I420" s="5">
        <v>0.88</v>
      </c>
      <c r="J420" s="5" t="s">
        <v>39</v>
      </c>
      <c r="K420" s="5">
        <v>1016.0</v>
      </c>
      <c r="L420" s="5">
        <v>523.0</v>
      </c>
      <c r="M420" s="5">
        <v>88000.0</v>
      </c>
      <c r="N420" s="15" t="str">
        <f t="array" ref="N420">IFERROR(VLOOKUP(T420,Ref_sheet!$A$1:$B$8,2,FALSE))</f>
        <v/>
      </c>
      <c r="O420" s="12">
        <v>57.0</v>
      </c>
      <c r="P420" s="5" t="s">
        <v>58</v>
      </c>
      <c r="Q420" s="5"/>
      <c r="R420" s="5" t="s">
        <v>41</v>
      </c>
      <c r="S420" s="5"/>
      <c r="T420" s="5" t="s">
        <v>42</v>
      </c>
    </row>
    <row r="421">
      <c r="A421" s="25">
        <v>43866.0</v>
      </c>
      <c r="B421" s="28">
        <v>0.4152777777777778</v>
      </c>
      <c r="C421" s="5" t="s">
        <v>76</v>
      </c>
      <c r="D421" s="29">
        <v>43882.0</v>
      </c>
      <c r="E421" s="5">
        <v>69.0</v>
      </c>
      <c r="F421" s="5" t="s">
        <v>38</v>
      </c>
      <c r="G421" s="5">
        <v>66.33</v>
      </c>
      <c r="H421" s="5">
        <v>510.0</v>
      </c>
      <c r="I421" s="5">
        <v>0.31</v>
      </c>
      <c r="J421" s="5" t="s">
        <v>39</v>
      </c>
      <c r="K421" s="5">
        <v>697.0</v>
      </c>
      <c r="L421" s="5">
        <v>8890.0</v>
      </c>
      <c r="M421" s="5">
        <v>15810.0</v>
      </c>
      <c r="N421" s="15" t="str">
        <f t="array" ref="N421">IFERROR(VLOOKUP(T421,Ref_sheet!$A$1:$B$8,2,FALSE))</f>
        <v/>
      </c>
      <c r="O421" s="12">
        <v>24.0</v>
      </c>
      <c r="P421" s="5" t="s">
        <v>40</v>
      </c>
      <c r="Q421" s="5"/>
      <c r="R421" s="5" t="s">
        <v>41</v>
      </c>
      <c r="S421" s="5"/>
      <c r="T421" s="5" t="s">
        <v>46</v>
      </c>
    </row>
    <row r="422">
      <c r="A422" s="25">
        <v>43866.0</v>
      </c>
      <c r="B422" s="28">
        <v>0.4152777777777778</v>
      </c>
      <c r="C422" s="5" t="s">
        <v>460</v>
      </c>
      <c r="D422" s="29">
        <v>44001.0</v>
      </c>
      <c r="E422" s="5">
        <v>19.0</v>
      </c>
      <c r="F422" s="5" t="s">
        <v>38</v>
      </c>
      <c r="G422" s="5">
        <v>15.91</v>
      </c>
      <c r="H422" s="5">
        <v>525.0</v>
      </c>
      <c r="I422" s="5">
        <v>0.75</v>
      </c>
      <c r="J422" s="5" t="s">
        <v>39</v>
      </c>
      <c r="K422" s="5">
        <v>1064.0</v>
      </c>
      <c r="L422" s="5">
        <v>383.0</v>
      </c>
      <c r="M422" s="5">
        <v>39375.0</v>
      </c>
      <c r="N422" s="15" t="str">
        <f t="array" ref="N422">IFERROR(VLOOKUP(T422,Ref_sheet!$A$1:$B$8,2,FALSE))</f>
        <v/>
      </c>
      <c r="O422" s="12">
        <v>37.0</v>
      </c>
      <c r="P422" s="5" t="s">
        <v>40</v>
      </c>
      <c r="Q422" s="5"/>
      <c r="R422" s="5" t="s">
        <v>41</v>
      </c>
      <c r="S422" s="5"/>
      <c r="T422" s="5" t="s">
        <v>42</v>
      </c>
    </row>
    <row r="423">
      <c r="A423" s="25">
        <v>43866.0</v>
      </c>
      <c r="B423" s="28">
        <v>0.4152777777777778</v>
      </c>
      <c r="C423" s="5" t="s">
        <v>220</v>
      </c>
      <c r="D423" s="29">
        <v>43889.0</v>
      </c>
      <c r="E423" s="5">
        <v>1100.0</v>
      </c>
      <c r="F423" s="5" t="s">
        <v>38</v>
      </c>
      <c r="G423" s="5">
        <v>797.53</v>
      </c>
      <c r="H423" s="5">
        <v>342.0</v>
      </c>
      <c r="I423" s="5">
        <v>28.53</v>
      </c>
      <c r="J423" s="5" t="s">
        <v>39</v>
      </c>
      <c r="K423" s="5">
        <v>386.0</v>
      </c>
      <c r="L423" s="5">
        <v>198.0</v>
      </c>
      <c r="M423" s="5">
        <v>975595.0</v>
      </c>
      <c r="N423" s="15" t="str">
        <f t="array" ref="N423">IFERROR(VLOOKUP(T423,Ref_sheet!$A$1:$B$8,2,FALSE))</f>
        <v/>
      </c>
      <c r="O423" s="12">
        <v>80.0</v>
      </c>
      <c r="P423" s="5" t="s">
        <v>58</v>
      </c>
      <c r="Q423" s="5" t="b">
        <v>1</v>
      </c>
      <c r="R423" s="5" t="s">
        <v>41</v>
      </c>
      <c r="S423" s="5"/>
      <c r="T423" s="5" t="s">
        <v>66</v>
      </c>
    </row>
    <row r="424">
      <c r="A424" s="25">
        <v>43866.0</v>
      </c>
      <c r="B424" s="28">
        <v>0.41458333333333336</v>
      </c>
      <c r="C424" s="5" t="s">
        <v>31</v>
      </c>
      <c r="D424" s="29">
        <v>43938.0</v>
      </c>
      <c r="E424" s="5">
        <v>316.0</v>
      </c>
      <c r="F424" s="5" t="s">
        <v>32</v>
      </c>
      <c r="G424" s="5">
        <v>331.85</v>
      </c>
      <c r="H424" s="5">
        <v>2024.0</v>
      </c>
      <c r="I424" s="5">
        <v>3.74</v>
      </c>
      <c r="J424" s="5" t="s">
        <v>39</v>
      </c>
      <c r="K424" s="5">
        <v>6064.0</v>
      </c>
      <c r="L424" s="5">
        <v>4130.0</v>
      </c>
      <c r="M424" s="5">
        <v>756195.0</v>
      </c>
      <c r="N424" s="15" t="str">
        <f t="array" ref="N424">IFERROR(VLOOKUP(T424,Ref_sheet!$A$1:$B$8,2,FALSE))</f>
        <v/>
      </c>
      <c r="O424" s="12">
        <v>24.0</v>
      </c>
      <c r="P424" s="5" t="s">
        <v>34</v>
      </c>
      <c r="Q424" s="5"/>
      <c r="R424" s="5" t="s">
        <v>35</v>
      </c>
      <c r="S424" s="5"/>
      <c r="T424" s="5" t="s">
        <v>36</v>
      </c>
    </row>
    <row r="425">
      <c r="A425" s="25">
        <v>43866.0</v>
      </c>
      <c r="B425" s="28">
        <v>0.41458333333333336</v>
      </c>
      <c r="C425" s="5" t="s">
        <v>442</v>
      </c>
      <c r="D425" s="29">
        <v>43882.0</v>
      </c>
      <c r="E425" s="5">
        <v>195.0</v>
      </c>
      <c r="F425" s="5" t="s">
        <v>32</v>
      </c>
      <c r="G425" s="5">
        <v>201.48</v>
      </c>
      <c r="H425" s="5">
        <v>501.0</v>
      </c>
      <c r="I425" s="5">
        <v>3.33</v>
      </c>
      <c r="J425" s="5" t="s">
        <v>39</v>
      </c>
      <c r="K425" s="5">
        <v>501.0</v>
      </c>
      <c r="L425" s="5">
        <v>439.0</v>
      </c>
      <c r="M425" s="5">
        <v>166830.0</v>
      </c>
      <c r="N425" s="15" t="str">
        <f t="array" ref="N425">IFERROR(VLOOKUP(T425,Ref_sheet!$A$1:$B$8,2,FALSE))</f>
        <v/>
      </c>
      <c r="O425" s="12">
        <v>58.0</v>
      </c>
      <c r="P425" s="5" t="s">
        <v>182</v>
      </c>
      <c r="Q425" s="5"/>
      <c r="R425" s="5" t="s">
        <v>35</v>
      </c>
      <c r="S425" s="5"/>
      <c r="T425" s="5" t="s">
        <v>42</v>
      </c>
    </row>
    <row r="426">
      <c r="A426" s="25">
        <v>43866.0</v>
      </c>
      <c r="B426" s="28">
        <v>0.41388888888888886</v>
      </c>
      <c r="C426" s="5" t="s">
        <v>151</v>
      </c>
      <c r="D426" s="29">
        <v>43882.0</v>
      </c>
      <c r="E426" s="5">
        <v>16.0</v>
      </c>
      <c r="F426" s="5" t="s">
        <v>38</v>
      </c>
      <c r="G426" s="5">
        <v>15.57</v>
      </c>
      <c r="H426" s="5">
        <v>1057.0</v>
      </c>
      <c r="I426" s="5">
        <v>0.4</v>
      </c>
      <c r="J426" s="5" t="s">
        <v>39</v>
      </c>
      <c r="K426" s="5">
        <v>3430.0</v>
      </c>
      <c r="L426" s="5">
        <v>3906.0</v>
      </c>
      <c r="M426" s="5">
        <v>42280.0</v>
      </c>
      <c r="N426" s="15" t="str">
        <f t="array" ref="N426">IFERROR(VLOOKUP(T426,Ref_sheet!$A$1:$B$8,2,FALSE))</f>
        <v/>
      </c>
      <c r="O426" s="12">
        <v>20.0</v>
      </c>
      <c r="P426" s="5" t="s">
        <v>45</v>
      </c>
      <c r="Q426" s="5"/>
      <c r="R426" s="5" t="s">
        <v>41</v>
      </c>
      <c r="S426" s="5"/>
      <c r="T426" s="5" t="s">
        <v>46</v>
      </c>
    </row>
    <row r="427">
      <c r="A427" s="25">
        <v>43866.0</v>
      </c>
      <c r="B427" s="28">
        <v>0.41388888888888886</v>
      </c>
      <c r="C427" s="5" t="s">
        <v>151</v>
      </c>
      <c r="D427" s="29">
        <v>43882.0</v>
      </c>
      <c r="E427" s="5">
        <v>16.0</v>
      </c>
      <c r="F427" s="5" t="s">
        <v>38</v>
      </c>
      <c r="G427" s="5">
        <v>15.55</v>
      </c>
      <c r="H427" s="5">
        <v>2200.0</v>
      </c>
      <c r="I427" s="5">
        <v>0.4</v>
      </c>
      <c r="J427" s="5" t="s">
        <v>48</v>
      </c>
      <c r="K427" s="5">
        <v>2373.0</v>
      </c>
      <c r="L427" s="5">
        <v>3906.0</v>
      </c>
      <c r="M427" s="5">
        <v>88000.0</v>
      </c>
      <c r="N427" s="15" t="str">
        <f t="array" ref="N427">IFERROR(VLOOKUP(T427,Ref_sheet!$A$1:$B$8,2,FALSE))</f>
        <v/>
      </c>
      <c r="O427" s="12">
        <v>43.0</v>
      </c>
      <c r="P427" s="5" t="s">
        <v>45</v>
      </c>
      <c r="Q427" s="5"/>
      <c r="R427" s="5" t="s">
        <v>41</v>
      </c>
      <c r="S427" s="5"/>
      <c r="T427" s="5" t="s">
        <v>46</v>
      </c>
    </row>
    <row r="428">
      <c r="A428" s="25">
        <v>43866.0</v>
      </c>
      <c r="B428" s="28">
        <v>0.41388888888888886</v>
      </c>
      <c r="C428" s="5" t="s">
        <v>56</v>
      </c>
      <c r="D428" s="29">
        <v>43868.0</v>
      </c>
      <c r="E428" s="5">
        <v>54.5</v>
      </c>
      <c r="F428" s="5" t="s">
        <v>38</v>
      </c>
      <c r="G428" s="5">
        <v>54.34</v>
      </c>
      <c r="H428" s="5">
        <v>1000.0</v>
      </c>
      <c r="I428" s="5">
        <v>0.38</v>
      </c>
      <c r="J428" s="5" t="s">
        <v>39</v>
      </c>
      <c r="K428" s="5">
        <v>1134.0</v>
      </c>
      <c r="L428" s="5">
        <v>520.0</v>
      </c>
      <c r="M428" s="5">
        <v>38000.0</v>
      </c>
      <c r="N428" s="15" t="str">
        <f t="array" ref="N428">IFERROR(VLOOKUP(T428,Ref_sheet!$A$1:$B$8,2,FALSE))</f>
        <v/>
      </c>
      <c r="O428" s="12">
        <v>55.0</v>
      </c>
      <c r="P428" s="5" t="s">
        <v>34</v>
      </c>
      <c r="Q428" s="5"/>
      <c r="R428" s="5" t="s">
        <v>41</v>
      </c>
      <c r="S428" s="5"/>
      <c r="T428" s="5" t="s">
        <v>42</v>
      </c>
    </row>
    <row r="429">
      <c r="A429" s="25">
        <v>43866.0</v>
      </c>
      <c r="B429" s="28">
        <v>0.4131944444444444</v>
      </c>
      <c r="C429" s="5" t="s">
        <v>90</v>
      </c>
      <c r="D429" s="29">
        <v>44092.0</v>
      </c>
      <c r="E429" s="5">
        <v>9.0</v>
      </c>
      <c r="F429" s="5" t="s">
        <v>38</v>
      </c>
      <c r="G429" s="5">
        <v>8.28</v>
      </c>
      <c r="H429" s="5">
        <v>671.0</v>
      </c>
      <c r="I429" s="5">
        <v>0.34</v>
      </c>
      <c r="J429" s="5" t="s">
        <v>39</v>
      </c>
      <c r="K429" s="5">
        <v>1158.0</v>
      </c>
      <c r="L429" s="5">
        <v>5670.0</v>
      </c>
      <c r="M429" s="5">
        <v>22814.0</v>
      </c>
      <c r="N429" s="15" t="str">
        <f t="array" ref="N429">IFERROR(VLOOKUP(T429,Ref_sheet!$A$1:$B$8,2,FALSE))</f>
        <v/>
      </c>
      <c r="O429" s="12">
        <v>17.0</v>
      </c>
      <c r="P429" s="5" t="s">
        <v>58</v>
      </c>
      <c r="Q429" s="5"/>
      <c r="R429" s="5" t="s">
        <v>41</v>
      </c>
      <c r="S429" s="5"/>
      <c r="T429" s="5" t="s">
        <v>46</v>
      </c>
    </row>
    <row r="430">
      <c r="A430" s="25">
        <v>43866.0</v>
      </c>
      <c r="B430" s="28">
        <v>0.4131944444444444</v>
      </c>
      <c r="C430" s="5" t="s">
        <v>465</v>
      </c>
      <c r="D430" s="29">
        <v>43868.0</v>
      </c>
      <c r="E430" s="5">
        <v>90.0</v>
      </c>
      <c r="F430" s="5" t="s">
        <v>38</v>
      </c>
      <c r="G430" s="5">
        <v>88.79</v>
      </c>
      <c r="H430" s="5">
        <v>800.0</v>
      </c>
      <c r="I430" s="5">
        <v>0.34</v>
      </c>
      <c r="J430" s="5" t="s">
        <v>48</v>
      </c>
      <c r="K430" s="5">
        <v>910.0</v>
      </c>
      <c r="L430" s="5">
        <v>1256.0</v>
      </c>
      <c r="M430" s="5">
        <v>27200.0</v>
      </c>
      <c r="N430" s="15" t="str">
        <f t="array" ref="N430">IFERROR(VLOOKUP(T430,Ref_sheet!$A$1:$B$8,2,FALSE))</f>
        <v/>
      </c>
      <c r="O430" s="12">
        <v>46.0</v>
      </c>
      <c r="P430" s="5" t="s">
        <v>51</v>
      </c>
      <c r="Q430" s="5"/>
      <c r="R430" s="5" t="s">
        <v>41</v>
      </c>
      <c r="S430" s="5"/>
      <c r="T430" s="5" t="s">
        <v>46</v>
      </c>
    </row>
    <row r="431">
      <c r="A431" s="25">
        <v>43866.0</v>
      </c>
      <c r="B431" s="28">
        <v>0.4125</v>
      </c>
      <c r="C431" s="5" t="s">
        <v>82</v>
      </c>
      <c r="D431" s="29">
        <v>43868.0</v>
      </c>
      <c r="E431" s="5">
        <v>6.0</v>
      </c>
      <c r="F431" s="5" t="s">
        <v>38</v>
      </c>
      <c r="G431" s="5">
        <v>6.05</v>
      </c>
      <c r="H431" s="5">
        <v>751.0</v>
      </c>
      <c r="I431" s="5">
        <v>0.29</v>
      </c>
      <c r="J431" s="5" t="s">
        <v>33</v>
      </c>
      <c r="K431" s="5">
        <v>1164.0</v>
      </c>
      <c r="L431" s="5">
        <v>6097.0</v>
      </c>
      <c r="M431" s="5">
        <v>21779.0</v>
      </c>
      <c r="N431" s="15" t="str">
        <f t="array" ref="N431">IFERROR(VLOOKUP(T431,Ref_sheet!$A$1:$B$8,2,FALSE))</f>
        <v/>
      </c>
      <c r="O431" s="12">
        <v>28.0</v>
      </c>
      <c r="P431" s="5" t="s">
        <v>40</v>
      </c>
      <c r="Q431" s="5"/>
      <c r="R431" s="5" t="s">
        <v>41</v>
      </c>
      <c r="S431" s="5"/>
      <c r="T431" s="5" t="s">
        <v>46</v>
      </c>
    </row>
    <row r="432">
      <c r="A432" s="25">
        <v>43866.0</v>
      </c>
      <c r="B432" s="28">
        <v>0.4125</v>
      </c>
      <c r="C432" s="5" t="s">
        <v>432</v>
      </c>
      <c r="D432" s="29">
        <v>43910.0</v>
      </c>
      <c r="E432" s="5">
        <v>6.0</v>
      </c>
      <c r="F432" s="5" t="s">
        <v>38</v>
      </c>
      <c r="G432" s="5">
        <v>3.98</v>
      </c>
      <c r="H432" s="5">
        <v>1094.0</v>
      </c>
      <c r="I432" s="5">
        <v>0.65</v>
      </c>
      <c r="J432" s="5" t="s">
        <v>39</v>
      </c>
      <c r="K432" s="5">
        <v>1094.0</v>
      </c>
      <c r="L432" s="5">
        <v>3616.0</v>
      </c>
      <c r="M432" s="5">
        <v>71098.0</v>
      </c>
      <c r="N432" s="15" t="str">
        <f t="array" ref="N432">IFERROR(VLOOKUP(T432,Ref_sheet!$A$1:$B$8,2,FALSE))</f>
        <v/>
      </c>
      <c r="O432" s="12">
        <v>33.0</v>
      </c>
      <c r="P432" s="5" t="s">
        <v>40</v>
      </c>
      <c r="Q432" s="5"/>
      <c r="R432" s="5" t="s">
        <v>41</v>
      </c>
      <c r="S432" s="5"/>
      <c r="T432" s="5" t="s">
        <v>46</v>
      </c>
    </row>
    <row r="433">
      <c r="A433" s="25">
        <v>43866.0</v>
      </c>
      <c r="B433" s="28">
        <v>0.41180555555555554</v>
      </c>
      <c r="C433" s="5" t="s">
        <v>151</v>
      </c>
      <c r="D433" s="29">
        <v>43910.0</v>
      </c>
      <c r="E433" s="5">
        <v>16.0</v>
      </c>
      <c r="F433" s="5" t="s">
        <v>38</v>
      </c>
      <c r="G433" s="5">
        <v>15.55</v>
      </c>
      <c r="H433" s="5">
        <v>1666.0</v>
      </c>
      <c r="I433" s="5">
        <v>0.75</v>
      </c>
      <c r="J433" s="5" t="s">
        <v>39</v>
      </c>
      <c r="K433" s="5">
        <v>2735.0</v>
      </c>
      <c r="L433" s="5">
        <v>935.0</v>
      </c>
      <c r="M433" s="5">
        <v>124950.0</v>
      </c>
      <c r="N433" s="15" t="str">
        <f t="array" ref="N433">IFERROR(VLOOKUP(T433,Ref_sheet!$A$1:$B$8,2,FALSE))</f>
        <v/>
      </c>
      <c r="O433" s="12">
        <v>44.0</v>
      </c>
      <c r="P433" s="5" t="s">
        <v>45</v>
      </c>
      <c r="Q433" s="5"/>
      <c r="R433" s="5" t="s">
        <v>41</v>
      </c>
      <c r="S433" s="5"/>
      <c r="T433" s="5" t="s">
        <v>42</v>
      </c>
    </row>
    <row r="434">
      <c r="A434" s="25">
        <v>43866.0</v>
      </c>
      <c r="B434" s="28">
        <v>0.41180555555555554</v>
      </c>
      <c r="C434" s="5" t="s">
        <v>220</v>
      </c>
      <c r="D434" s="29">
        <v>43875.0</v>
      </c>
      <c r="E434" s="5">
        <v>920.0</v>
      </c>
      <c r="F434" s="5" t="s">
        <v>38</v>
      </c>
      <c r="G434" s="5">
        <v>801.5</v>
      </c>
      <c r="H434" s="5">
        <v>334.0</v>
      </c>
      <c r="I434" s="5">
        <v>30.8</v>
      </c>
      <c r="J434" s="5" t="s">
        <v>33</v>
      </c>
      <c r="K434" s="5">
        <v>575.0</v>
      </c>
      <c r="L434" s="5">
        <v>363.0</v>
      </c>
      <c r="M434" s="5">
        <v>1028720.0</v>
      </c>
      <c r="N434" s="15" t="str">
        <f t="array" ref="N434">IFERROR(VLOOKUP(T434,Ref_sheet!$A$1:$B$8,2,FALSE))</f>
        <v/>
      </c>
      <c r="O434" s="12">
        <v>77.0</v>
      </c>
      <c r="P434" s="5" t="s">
        <v>58</v>
      </c>
      <c r="Q434" s="5" t="b">
        <v>1</v>
      </c>
      <c r="R434" s="5" t="s">
        <v>41</v>
      </c>
      <c r="S434" s="5"/>
      <c r="T434" s="5" t="s">
        <v>401</v>
      </c>
    </row>
    <row r="435">
      <c r="A435" s="25">
        <v>43866.0</v>
      </c>
      <c r="B435" s="28">
        <v>0.41180555555555554</v>
      </c>
      <c r="C435" s="5" t="s">
        <v>439</v>
      </c>
      <c r="D435" s="29">
        <v>44001.0</v>
      </c>
      <c r="E435" s="5">
        <v>80.0</v>
      </c>
      <c r="F435" s="5" t="s">
        <v>38</v>
      </c>
      <c r="G435" s="5">
        <v>82.66</v>
      </c>
      <c r="H435" s="5">
        <v>1095.0</v>
      </c>
      <c r="I435" s="5">
        <v>6.5</v>
      </c>
      <c r="J435" s="5" t="s">
        <v>48</v>
      </c>
      <c r="K435" s="5">
        <v>1551.0</v>
      </c>
      <c r="L435" s="5">
        <v>223.0</v>
      </c>
      <c r="M435" s="5">
        <v>711750.0</v>
      </c>
      <c r="N435" s="15" t="str">
        <f t="array" ref="N435">IFERROR(VLOOKUP(T435,Ref_sheet!$A$1:$B$8,2,FALSE))</f>
        <v/>
      </c>
      <c r="O435" s="12">
        <v>44.0</v>
      </c>
      <c r="P435" s="5" t="s">
        <v>64</v>
      </c>
      <c r="Q435" s="5"/>
      <c r="R435" s="5" t="s">
        <v>41</v>
      </c>
      <c r="S435" s="5"/>
      <c r="T435" s="5" t="s">
        <v>42</v>
      </c>
    </row>
    <row r="436">
      <c r="A436" s="25">
        <v>43866.0</v>
      </c>
      <c r="B436" s="28">
        <v>0.4111111111111111</v>
      </c>
      <c r="C436" s="5" t="s">
        <v>103</v>
      </c>
      <c r="D436" s="29">
        <v>43938.0</v>
      </c>
      <c r="E436" s="5">
        <v>135.0</v>
      </c>
      <c r="F436" s="5" t="s">
        <v>38</v>
      </c>
      <c r="G436" s="5">
        <v>129.74</v>
      </c>
      <c r="H436" s="5">
        <v>133.0</v>
      </c>
      <c r="I436" s="5">
        <v>3.24</v>
      </c>
      <c r="J436" s="5" t="s">
        <v>39</v>
      </c>
      <c r="K436" s="5">
        <v>4669.0</v>
      </c>
      <c r="L436" s="5">
        <v>2458.0</v>
      </c>
      <c r="M436" s="5">
        <v>43025.0</v>
      </c>
      <c r="N436" s="15" t="str">
        <f t="array" ref="N436">IFERROR(VLOOKUP(T436,Ref_sheet!$A$1:$B$8,2,FALSE))</f>
        <v/>
      </c>
      <c r="O436" s="12">
        <v>4.0</v>
      </c>
      <c r="P436" s="5" t="s">
        <v>40</v>
      </c>
      <c r="Q436" s="5"/>
      <c r="R436" s="5" t="s">
        <v>41</v>
      </c>
      <c r="S436" s="5"/>
      <c r="T436" s="5" t="s">
        <v>36</v>
      </c>
    </row>
    <row r="437">
      <c r="A437" s="25">
        <v>43866.0</v>
      </c>
      <c r="B437" s="28">
        <v>0.41041666666666665</v>
      </c>
      <c r="C437" s="5" t="s">
        <v>31</v>
      </c>
      <c r="D437" s="29">
        <v>43868.0</v>
      </c>
      <c r="E437" s="5">
        <v>333.0</v>
      </c>
      <c r="F437" s="5" t="s">
        <v>38</v>
      </c>
      <c r="G437" s="5">
        <v>332.02</v>
      </c>
      <c r="H437" s="5">
        <v>3248.0</v>
      </c>
      <c r="I437" s="5">
        <v>1.1</v>
      </c>
      <c r="J437" s="5" t="s">
        <v>39</v>
      </c>
      <c r="K437" s="5">
        <v>14789.0</v>
      </c>
      <c r="L437" s="5">
        <v>13184.0</v>
      </c>
      <c r="M437" s="5">
        <v>355519.0</v>
      </c>
      <c r="N437" s="15" t="str">
        <f t="array" ref="N437">IFERROR(VLOOKUP(T437,Ref_sheet!$A$1:$B$8,2,FALSE))</f>
        <v/>
      </c>
      <c r="O437" s="12">
        <v>31.0</v>
      </c>
      <c r="P437" s="5" t="s">
        <v>34</v>
      </c>
      <c r="Q437" s="5"/>
      <c r="R437" s="5" t="s">
        <v>41</v>
      </c>
      <c r="S437" s="5"/>
      <c r="T437" s="5" t="s">
        <v>36</v>
      </c>
    </row>
    <row r="438">
      <c r="A438" s="25">
        <v>43866.0</v>
      </c>
      <c r="B438" s="28">
        <v>0.41041666666666665</v>
      </c>
      <c r="C438" s="5" t="s">
        <v>193</v>
      </c>
      <c r="D438" s="29">
        <v>43889.0</v>
      </c>
      <c r="E438" s="5">
        <v>61.0</v>
      </c>
      <c r="F438" s="5" t="s">
        <v>32</v>
      </c>
      <c r="G438" s="5">
        <v>61.41</v>
      </c>
      <c r="H438" s="5">
        <v>501.0</v>
      </c>
      <c r="I438" s="5">
        <v>1.5</v>
      </c>
      <c r="J438" s="5" t="s">
        <v>39</v>
      </c>
      <c r="K438" s="5">
        <v>1034.0</v>
      </c>
      <c r="L438" s="5">
        <v>436.0</v>
      </c>
      <c r="M438" s="5">
        <v>75152.0</v>
      </c>
      <c r="N438" s="15" t="str">
        <f t="array" ref="N438">IFERROR(VLOOKUP(T438,Ref_sheet!$A$1:$B$8,2,FALSE))</f>
        <v/>
      </c>
      <c r="O438" s="12">
        <v>42.0</v>
      </c>
      <c r="P438" s="5" t="s">
        <v>64</v>
      </c>
      <c r="Q438" s="5"/>
      <c r="R438" s="5" t="s">
        <v>35</v>
      </c>
      <c r="S438" s="5"/>
      <c r="T438" s="5" t="s">
        <v>42</v>
      </c>
    </row>
    <row r="439">
      <c r="A439" s="25">
        <v>43866.0</v>
      </c>
      <c r="B439" s="28">
        <v>0.41041666666666665</v>
      </c>
      <c r="C439" s="5" t="s">
        <v>193</v>
      </c>
      <c r="D439" s="29">
        <v>43889.0</v>
      </c>
      <c r="E439" s="5">
        <v>61.0</v>
      </c>
      <c r="F439" s="5" t="s">
        <v>32</v>
      </c>
      <c r="G439" s="5">
        <v>61.41</v>
      </c>
      <c r="H439" s="5">
        <v>500.0</v>
      </c>
      <c r="I439" s="5">
        <v>1.5</v>
      </c>
      <c r="J439" s="5" t="s">
        <v>39</v>
      </c>
      <c r="K439" s="5">
        <v>533.0</v>
      </c>
      <c r="L439" s="5">
        <v>436.0</v>
      </c>
      <c r="M439" s="5">
        <v>75000.0</v>
      </c>
      <c r="N439" s="15" t="str">
        <f t="array" ref="N439">IFERROR(VLOOKUP(T439,Ref_sheet!$A$1:$B$8,2,FALSE))</f>
        <v/>
      </c>
      <c r="O439" s="12">
        <v>51.0</v>
      </c>
      <c r="P439" s="5" t="s">
        <v>64</v>
      </c>
      <c r="Q439" s="5"/>
      <c r="R439" s="5" t="s">
        <v>35</v>
      </c>
      <c r="S439" s="5"/>
      <c r="T439" s="5" t="s">
        <v>42</v>
      </c>
    </row>
    <row r="440">
      <c r="A440" s="25">
        <v>43866.0</v>
      </c>
      <c r="B440" s="28">
        <v>0.41041666666666665</v>
      </c>
      <c r="C440" s="5" t="s">
        <v>344</v>
      </c>
      <c r="D440" s="29">
        <v>43868.0</v>
      </c>
      <c r="E440" s="5">
        <v>150.0</v>
      </c>
      <c r="F440" s="5" t="s">
        <v>38</v>
      </c>
      <c r="G440" s="5">
        <v>153.15</v>
      </c>
      <c r="H440" s="5">
        <v>978.0</v>
      </c>
      <c r="I440" s="5">
        <v>3.3</v>
      </c>
      <c r="J440" s="5" t="s">
        <v>48</v>
      </c>
      <c r="K440" s="5">
        <v>1026.0</v>
      </c>
      <c r="L440" s="5">
        <v>1182.0</v>
      </c>
      <c r="M440" s="5">
        <v>322740.0</v>
      </c>
      <c r="N440" s="15" t="str">
        <f t="array" ref="N440">IFERROR(VLOOKUP(T440,Ref_sheet!$A$1:$B$8,2,FALSE))</f>
        <v/>
      </c>
      <c r="O440" s="12">
        <v>60.0</v>
      </c>
      <c r="P440" s="5" t="s">
        <v>53</v>
      </c>
      <c r="Q440" s="5"/>
      <c r="R440" s="5" t="s">
        <v>41</v>
      </c>
      <c r="S440" s="5"/>
      <c r="T440" s="5" t="s">
        <v>46</v>
      </c>
    </row>
    <row r="441">
      <c r="A441" s="25">
        <v>43866.0</v>
      </c>
      <c r="B441" s="28">
        <v>0.4083333333333333</v>
      </c>
      <c r="C441" s="5" t="s">
        <v>60</v>
      </c>
      <c r="D441" s="29">
        <v>44001.0</v>
      </c>
      <c r="E441" s="5">
        <v>2200.0</v>
      </c>
      <c r="F441" s="5" t="s">
        <v>38</v>
      </c>
      <c r="G441" s="5">
        <v>2059.58</v>
      </c>
      <c r="H441" s="5">
        <v>50.0</v>
      </c>
      <c r="I441" s="5">
        <v>70.0</v>
      </c>
      <c r="J441" s="5" t="s">
        <v>48</v>
      </c>
      <c r="K441" s="5">
        <v>138.0</v>
      </c>
      <c r="L441" s="5">
        <v>2557.0</v>
      </c>
      <c r="M441" s="5">
        <v>350000.0</v>
      </c>
      <c r="N441" s="15" t="str">
        <f t="array" ref="N441">IFERROR(VLOOKUP(T441,Ref_sheet!$A$1:$B$8,2,FALSE))</f>
        <v/>
      </c>
      <c r="O441" s="12">
        <v>13.0</v>
      </c>
      <c r="P441" s="5" t="s">
        <v>51</v>
      </c>
      <c r="Q441" s="5"/>
      <c r="R441" s="5" t="s">
        <v>41</v>
      </c>
      <c r="S441" s="5"/>
      <c r="T441" s="5" t="s">
        <v>46</v>
      </c>
    </row>
    <row r="442">
      <c r="A442" s="25">
        <v>43866.0</v>
      </c>
      <c r="B442" s="28">
        <v>0.40902777777777777</v>
      </c>
      <c r="C442" s="5" t="s">
        <v>445</v>
      </c>
      <c r="D442" s="29">
        <v>43868.0</v>
      </c>
      <c r="E442" s="5">
        <v>290.0</v>
      </c>
      <c r="F442" s="5" t="s">
        <v>32</v>
      </c>
      <c r="G442" s="5">
        <v>292.92</v>
      </c>
      <c r="H442" s="5">
        <v>500.0</v>
      </c>
      <c r="I442" s="5">
        <v>2.0</v>
      </c>
      <c r="J442" s="5" t="s">
        <v>48</v>
      </c>
      <c r="K442" s="5">
        <v>561.0</v>
      </c>
      <c r="L442" s="5">
        <v>342.0</v>
      </c>
      <c r="M442" s="5">
        <v>100000.0</v>
      </c>
      <c r="N442" s="15" t="str">
        <f t="array" ref="N442">IFERROR(VLOOKUP(T442,Ref_sheet!$A$1:$B$8,2,FALSE))</f>
        <v/>
      </c>
      <c r="O442" s="12">
        <v>60.0</v>
      </c>
      <c r="P442" s="5" t="s">
        <v>53</v>
      </c>
      <c r="Q442" s="5"/>
      <c r="R442" s="5" t="s">
        <v>35</v>
      </c>
      <c r="S442" s="5"/>
      <c r="T442" s="5" t="s">
        <v>42</v>
      </c>
    </row>
    <row r="443">
      <c r="A443" s="25">
        <v>43866.0</v>
      </c>
      <c r="B443" s="28">
        <v>0.4083333333333333</v>
      </c>
      <c r="C443" s="5" t="s">
        <v>463</v>
      </c>
      <c r="D443" s="29">
        <v>43910.0</v>
      </c>
      <c r="E443" s="5">
        <v>250.0</v>
      </c>
      <c r="F443" s="5" t="s">
        <v>38</v>
      </c>
      <c r="G443" s="5">
        <v>221.28</v>
      </c>
      <c r="H443" s="5">
        <v>100.0</v>
      </c>
      <c r="I443" s="5">
        <v>3.3</v>
      </c>
      <c r="J443" s="5" t="s">
        <v>48</v>
      </c>
      <c r="K443" s="5">
        <v>300.0</v>
      </c>
      <c r="L443" s="5">
        <v>44.0</v>
      </c>
      <c r="M443" s="5">
        <v>33000.0</v>
      </c>
      <c r="N443" s="15" t="str">
        <f t="array" ref="N443">IFERROR(VLOOKUP(T443,Ref_sheet!$A$1:$B$8,2,FALSE))</f>
        <v/>
      </c>
      <c r="O443" s="12">
        <v>35.0</v>
      </c>
      <c r="P443" s="5" t="s">
        <v>51</v>
      </c>
      <c r="Q443" s="5"/>
      <c r="R443" s="5" t="s">
        <v>41</v>
      </c>
      <c r="S443" s="5"/>
      <c r="T443" s="5" t="s">
        <v>42</v>
      </c>
    </row>
    <row r="444">
      <c r="A444" s="25">
        <v>43866.0</v>
      </c>
      <c r="B444" s="28">
        <v>0.4083333333333333</v>
      </c>
      <c r="C444" s="5" t="s">
        <v>441</v>
      </c>
      <c r="D444" s="29">
        <v>43882.0</v>
      </c>
      <c r="E444" s="5">
        <v>82.0</v>
      </c>
      <c r="F444" s="5" t="s">
        <v>32</v>
      </c>
      <c r="G444" s="5">
        <v>85.77</v>
      </c>
      <c r="H444" s="5">
        <v>4084.0</v>
      </c>
      <c r="I444" s="5">
        <v>0.45</v>
      </c>
      <c r="J444" s="5" t="s">
        <v>39</v>
      </c>
      <c r="K444" s="5">
        <v>5633.0</v>
      </c>
      <c r="L444" s="5">
        <v>70.0</v>
      </c>
      <c r="M444" s="5">
        <v>183399.0</v>
      </c>
      <c r="N444" s="15" t="str">
        <f t="array" ref="N444">IFERROR(VLOOKUP(T444,Ref_sheet!$A$1:$B$8,2,FALSE))</f>
        <v/>
      </c>
      <c r="O444" s="12">
        <v>52.0</v>
      </c>
      <c r="P444" s="5" t="s">
        <v>53</v>
      </c>
      <c r="Q444" s="5"/>
      <c r="R444" s="5" t="s">
        <v>35</v>
      </c>
      <c r="S444" s="5"/>
      <c r="T444" s="5" t="s">
        <v>42</v>
      </c>
    </row>
    <row r="445">
      <c r="A445" s="25">
        <v>43866.0</v>
      </c>
      <c r="B445" s="28">
        <v>0.4076388888888889</v>
      </c>
      <c r="C445" s="5" t="s">
        <v>450</v>
      </c>
      <c r="D445" s="29">
        <v>43868.0</v>
      </c>
      <c r="E445" s="5">
        <v>177.5</v>
      </c>
      <c r="F445" s="5" t="s">
        <v>32</v>
      </c>
      <c r="G445" s="5">
        <v>176.81</v>
      </c>
      <c r="H445" s="5">
        <v>250.0</v>
      </c>
      <c r="I445" s="5">
        <v>1.5</v>
      </c>
      <c r="J445" s="5" t="s">
        <v>39</v>
      </c>
      <c r="K445" s="5">
        <v>762.0</v>
      </c>
      <c r="L445" s="5">
        <v>1004.0</v>
      </c>
      <c r="M445" s="5">
        <v>37500.0</v>
      </c>
      <c r="N445" s="15" t="str">
        <f t="array" ref="N445">IFERROR(VLOOKUP(T445,Ref_sheet!$A$1:$B$8,2,FALSE))</f>
        <v/>
      </c>
      <c r="O445" s="12">
        <v>25.0</v>
      </c>
      <c r="P445" s="5" t="s">
        <v>182</v>
      </c>
      <c r="Q445" s="5"/>
      <c r="R445" s="5" t="s">
        <v>35</v>
      </c>
      <c r="S445" s="5"/>
      <c r="T445" s="5" t="s">
        <v>46</v>
      </c>
    </row>
    <row r="446">
      <c r="A446" s="25">
        <v>43866.0</v>
      </c>
      <c r="B446" s="28">
        <v>0.4076388888888889</v>
      </c>
      <c r="C446" s="5" t="s">
        <v>103</v>
      </c>
      <c r="D446" s="29">
        <v>43938.0</v>
      </c>
      <c r="E446" s="5">
        <v>135.0</v>
      </c>
      <c r="F446" s="5" t="s">
        <v>38</v>
      </c>
      <c r="G446" s="5">
        <v>129.34</v>
      </c>
      <c r="H446" s="5">
        <v>4206.0</v>
      </c>
      <c r="I446" s="5">
        <v>2.95</v>
      </c>
      <c r="J446" s="5" t="s">
        <v>39</v>
      </c>
      <c r="K446" s="5">
        <v>4227.0</v>
      </c>
      <c r="L446" s="5">
        <v>2458.0</v>
      </c>
      <c r="M446" s="5">
        <v>1240620.0</v>
      </c>
      <c r="N446" s="15" t="str">
        <f t="array" ref="N446">IFERROR(VLOOKUP(T446,Ref_sheet!$A$1:$B$8,2,FALSE))</f>
        <v/>
      </c>
      <c r="O446" s="12">
        <v>110.0</v>
      </c>
      <c r="P446" s="5" t="s">
        <v>40</v>
      </c>
      <c r="Q446" s="5"/>
      <c r="R446" s="5" t="s">
        <v>41</v>
      </c>
      <c r="S446" s="5" t="b">
        <v>1</v>
      </c>
      <c r="T446" s="5" t="s">
        <v>42</v>
      </c>
    </row>
    <row r="447">
      <c r="A447" s="25">
        <v>43866.0</v>
      </c>
      <c r="B447" s="28">
        <v>0.4076388888888889</v>
      </c>
      <c r="C447" s="5" t="s">
        <v>49</v>
      </c>
      <c r="D447" s="29">
        <v>43921.0</v>
      </c>
      <c r="E447" s="5">
        <v>240.0</v>
      </c>
      <c r="F447" s="5" t="s">
        <v>38</v>
      </c>
      <c r="G447" s="5">
        <v>228.82</v>
      </c>
      <c r="H447" s="5">
        <v>2052.0</v>
      </c>
      <c r="I447" s="5">
        <v>1.12</v>
      </c>
      <c r="J447" s="5" t="s">
        <v>39</v>
      </c>
      <c r="K447" s="5">
        <v>3007.0</v>
      </c>
      <c r="L447" s="5">
        <v>2033.0</v>
      </c>
      <c r="M447" s="5">
        <v>229824.0</v>
      </c>
      <c r="N447" s="15" t="str">
        <f t="array" ref="N447">IFERROR(VLOOKUP(T447,Ref_sheet!$A$1:$B$8,2,FALSE))</f>
        <v/>
      </c>
      <c r="O447" s="12">
        <v>48.0</v>
      </c>
      <c r="P447" s="5" t="s">
        <v>34</v>
      </c>
      <c r="Q447" s="5"/>
      <c r="R447" s="5" t="s">
        <v>41</v>
      </c>
      <c r="S447" s="5"/>
      <c r="T447" s="5" t="s">
        <v>42</v>
      </c>
    </row>
    <row r="448">
      <c r="A448" s="25">
        <v>43866.0</v>
      </c>
      <c r="B448" s="28">
        <v>0.4076388888888889</v>
      </c>
      <c r="C448" s="5" t="s">
        <v>212</v>
      </c>
      <c r="D448" s="29">
        <v>43868.0</v>
      </c>
      <c r="E448" s="5">
        <v>58.5</v>
      </c>
      <c r="F448" s="5" t="s">
        <v>38</v>
      </c>
      <c r="G448" s="5">
        <v>58.99</v>
      </c>
      <c r="H448" s="5">
        <v>500.0</v>
      </c>
      <c r="I448" s="5">
        <v>0.64</v>
      </c>
      <c r="J448" s="5" t="s">
        <v>33</v>
      </c>
      <c r="K448" s="5">
        <v>515.0</v>
      </c>
      <c r="L448" s="5">
        <v>1054.0</v>
      </c>
      <c r="M448" s="5">
        <v>32000.0</v>
      </c>
      <c r="N448" s="15" t="str">
        <f t="array" ref="N448">IFERROR(VLOOKUP(T448,Ref_sheet!$A$1:$B$8,2,FALSE))</f>
        <v/>
      </c>
      <c r="O448" s="12">
        <v>44.0</v>
      </c>
      <c r="P448" s="5" t="s">
        <v>58</v>
      </c>
      <c r="Q448" s="5"/>
      <c r="R448" s="5" t="s">
        <v>41</v>
      </c>
      <c r="S448" s="5"/>
      <c r="T448" s="5" t="s">
        <v>46</v>
      </c>
    </row>
    <row r="449">
      <c r="A449" s="25">
        <v>43866.0</v>
      </c>
      <c r="B449" s="28">
        <v>0.4076388888888889</v>
      </c>
      <c r="C449" s="5" t="s">
        <v>122</v>
      </c>
      <c r="D449" s="29">
        <v>43875.0</v>
      </c>
      <c r="E449" s="5">
        <v>35.0</v>
      </c>
      <c r="F449" s="5" t="s">
        <v>38</v>
      </c>
      <c r="G449" s="5">
        <v>34.21</v>
      </c>
      <c r="H449" s="5">
        <v>2000.0</v>
      </c>
      <c r="I449" s="5">
        <v>0.19</v>
      </c>
      <c r="J449" s="5" t="s">
        <v>39</v>
      </c>
      <c r="K449" s="5">
        <v>10625.0</v>
      </c>
      <c r="L449" s="5">
        <v>2872.0</v>
      </c>
      <c r="M449" s="5">
        <v>38000.0</v>
      </c>
      <c r="N449" s="15" t="str">
        <f t="array" ref="N449">IFERROR(VLOOKUP(T449,Ref_sheet!$A$1:$B$8,2,FALSE))</f>
        <v/>
      </c>
      <c r="O449" s="12">
        <v>31.0</v>
      </c>
      <c r="P449" s="5" t="s">
        <v>162</v>
      </c>
      <c r="Q449" s="5"/>
      <c r="R449" s="5" t="s">
        <v>41</v>
      </c>
      <c r="S449" s="5"/>
      <c r="T449" s="5" t="s">
        <v>36</v>
      </c>
    </row>
    <row r="450">
      <c r="A450" s="25">
        <v>43866.0</v>
      </c>
      <c r="B450" s="28">
        <v>0.40694444444444444</v>
      </c>
      <c r="C450" s="5" t="s">
        <v>415</v>
      </c>
      <c r="D450" s="29">
        <v>43875.0</v>
      </c>
      <c r="E450" s="5">
        <v>227.5</v>
      </c>
      <c r="F450" s="5" t="s">
        <v>38</v>
      </c>
      <c r="G450" s="5">
        <v>221.1</v>
      </c>
      <c r="H450" s="5">
        <v>294.0</v>
      </c>
      <c r="I450" s="5">
        <v>3.6</v>
      </c>
      <c r="J450" s="5" t="s">
        <v>39</v>
      </c>
      <c r="K450" s="5">
        <v>554.0</v>
      </c>
      <c r="L450" s="5">
        <v>1288.0</v>
      </c>
      <c r="M450" s="5">
        <v>105930.0</v>
      </c>
      <c r="N450" s="15" t="str">
        <f t="array" ref="N450">IFERROR(VLOOKUP(T450,Ref_sheet!$A$1:$B$8,2,FALSE))</f>
        <v/>
      </c>
      <c r="O450" s="12">
        <v>31.0</v>
      </c>
      <c r="P450" s="5" t="s">
        <v>51</v>
      </c>
      <c r="Q450" s="5"/>
      <c r="R450" s="5" t="s">
        <v>41</v>
      </c>
      <c r="S450" s="5"/>
      <c r="T450" s="5" t="s">
        <v>46</v>
      </c>
    </row>
    <row r="451">
      <c r="A451" s="25">
        <v>43866.0</v>
      </c>
      <c r="B451" s="28">
        <v>0.40694444444444444</v>
      </c>
      <c r="C451" s="5" t="s">
        <v>122</v>
      </c>
      <c r="D451" s="29">
        <v>43875.0</v>
      </c>
      <c r="E451" s="5">
        <v>35.0</v>
      </c>
      <c r="F451" s="5" t="s">
        <v>38</v>
      </c>
      <c r="G451" s="5">
        <v>34.2</v>
      </c>
      <c r="H451" s="5">
        <v>1000.0</v>
      </c>
      <c r="I451" s="5">
        <v>0.18</v>
      </c>
      <c r="J451" s="5" t="s">
        <v>39</v>
      </c>
      <c r="K451" s="5">
        <v>8513.0</v>
      </c>
      <c r="L451" s="5">
        <v>2872.0</v>
      </c>
      <c r="M451" s="5">
        <v>18000.0</v>
      </c>
      <c r="N451" s="15" t="str">
        <f t="array" ref="N451">IFERROR(VLOOKUP(T451,Ref_sheet!$A$1:$B$8,2,FALSE))</f>
        <v/>
      </c>
      <c r="O451" s="12">
        <v>21.0</v>
      </c>
      <c r="P451" s="5" t="s">
        <v>162</v>
      </c>
      <c r="Q451" s="5"/>
      <c r="R451" s="5" t="s">
        <v>41</v>
      </c>
      <c r="S451" s="5"/>
      <c r="T451" s="5" t="s">
        <v>36</v>
      </c>
    </row>
    <row r="452">
      <c r="A452" s="25">
        <v>43866.0</v>
      </c>
      <c r="B452" s="28">
        <v>0.40555555555555556</v>
      </c>
      <c r="C452" s="5" t="s">
        <v>415</v>
      </c>
      <c r="D452" s="29">
        <v>43868.0</v>
      </c>
      <c r="E452" s="5">
        <v>215.0</v>
      </c>
      <c r="F452" s="5" t="s">
        <v>32</v>
      </c>
      <c r="G452" s="5">
        <v>220.63</v>
      </c>
      <c r="H452" s="5">
        <v>601.0</v>
      </c>
      <c r="I452" s="5">
        <v>1.23</v>
      </c>
      <c r="J452" s="5" t="s">
        <v>39</v>
      </c>
      <c r="K452" s="5">
        <v>1367.0</v>
      </c>
      <c r="L452" s="5">
        <v>5124.0</v>
      </c>
      <c r="M452" s="5">
        <v>73962.0</v>
      </c>
      <c r="N452" s="15" t="str">
        <f t="array" ref="N452">IFERROR(VLOOKUP(T452,Ref_sheet!$A$1:$B$8,2,FALSE))</f>
        <v/>
      </c>
      <c r="O452" s="12">
        <v>27.0</v>
      </c>
      <c r="P452" s="5" t="s">
        <v>51</v>
      </c>
      <c r="Q452" s="5"/>
      <c r="R452" s="5" t="s">
        <v>35</v>
      </c>
      <c r="S452" s="5"/>
      <c r="T452" s="5" t="s">
        <v>46</v>
      </c>
    </row>
    <row r="453">
      <c r="A453" s="25">
        <v>43866.0</v>
      </c>
      <c r="B453" s="28">
        <v>0.40555555555555556</v>
      </c>
      <c r="C453" s="5" t="s">
        <v>122</v>
      </c>
      <c r="D453" s="29">
        <v>43875.0</v>
      </c>
      <c r="E453" s="5">
        <v>35.0</v>
      </c>
      <c r="F453" s="5" t="s">
        <v>38</v>
      </c>
      <c r="G453" s="5">
        <v>34.17</v>
      </c>
      <c r="H453" s="5">
        <v>1651.0</v>
      </c>
      <c r="I453" s="5">
        <v>0.17</v>
      </c>
      <c r="J453" s="5" t="s">
        <v>39</v>
      </c>
      <c r="K453" s="5">
        <v>7060.0</v>
      </c>
      <c r="L453" s="5">
        <v>2872.0</v>
      </c>
      <c r="M453" s="5">
        <v>28067.0</v>
      </c>
      <c r="N453" s="15" t="str">
        <f t="array" ref="N453">IFERROR(VLOOKUP(T453,Ref_sheet!$A$1:$B$8,2,FALSE))</f>
        <v/>
      </c>
      <c r="O453" s="12">
        <v>29.0</v>
      </c>
      <c r="P453" s="5" t="s">
        <v>162</v>
      </c>
      <c r="Q453" s="5"/>
      <c r="R453" s="5" t="s">
        <v>41</v>
      </c>
      <c r="S453" s="5"/>
      <c r="T453" s="5" t="s">
        <v>36</v>
      </c>
    </row>
    <row r="454">
      <c r="A454" s="25">
        <v>43866.0</v>
      </c>
      <c r="B454" s="28">
        <v>0.40555555555555556</v>
      </c>
      <c r="C454" s="5" t="s">
        <v>76</v>
      </c>
      <c r="D454" s="29">
        <v>43910.0</v>
      </c>
      <c r="E454" s="5">
        <v>60.0</v>
      </c>
      <c r="F454" s="5" t="s">
        <v>32</v>
      </c>
      <c r="G454" s="5">
        <v>66.31</v>
      </c>
      <c r="H454" s="5">
        <v>503.0</v>
      </c>
      <c r="I454" s="5">
        <v>0.5</v>
      </c>
      <c r="J454" s="5" t="s">
        <v>39</v>
      </c>
      <c r="K454" s="5">
        <v>515.0</v>
      </c>
      <c r="L454" s="5">
        <v>6469.0</v>
      </c>
      <c r="M454" s="5">
        <v>25150.0</v>
      </c>
      <c r="N454" s="15" t="str">
        <f t="array" ref="N454">IFERROR(VLOOKUP(T454,Ref_sheet!$A$1:$B$8,2,FALSE))</f>
        <v/>
      </c>
      <c r="O454" s="12">
        <v>24.0</v>
      </c>
      <c r="P454" s="5" t="s">
        <v>40</v>
      </c>
      <c r="Q454" s="5"/>
      <c r="R454" s="5" t="s">
        <v>35</v>
      </c>
      <c r="S454" s="5"/>
      <c r="T454" s="5" t="s">
        <v>46</v>
      </c>
    </row>
    <row r="455">
      <c r="A455" s="25">
        <v>43866.0</v>
      </c>
      <c r="B455" s="28">
        <v>0.4048611111111111</v>
      </c>
      <c r="C455" s="5" t="s">
        <v>455</v>
      </c>
      <c r="D455" s="29">
        <v>43868.0</v>
      </c>
      <c r="E455" s="5">
        <v>400.0</v>
      </c>
      <c r="F455" s="5" t="s">
        <v>38</v>
      </c>
      <c r="G455" s="5">
        <v>370.17</v>
      </c>
      <c r="H455" s="5">
        <v>145.0</v>
      </c>
      <c r="I455" s="5">
        <v>2.0</v>
      </c>
      <c r="J455" s="5" t="s">
        <v>39</v>
      </c>
      <c r="K455" s="5">
        <v>1111.0</v>
      </c>
      <c r="L455" s="5">
        <v>871.0</v>
      </c>
      <c r="M455" s="5">
        <v>29000.0</v>
      </c>
      <c r="N455" s="15" t="str">
        <f t="array" ref="N455">IFERROR(VLOOKUP(T455,Ref_sheet!$A$1:$B$8,2,FALSE))</f>
        <v/>
      </c>
      <c r="O455" s="12">
        <v>44.0</v>
      </c>
      <c r="P455" s="5" t="s">
        <v>53</v>
      </c>
      <c r="Q455" s="5" t="b">
        <v>1</v>
      </c>
      <c r="R455" s="5" t="s">
        <v>41</v>
      </c>
      <c r="S455" s="5"/>
      <c r="T455" s="5" t="s">
        <v>401</v>
      </c>
    </row>
    <row r="456">
      <c r="A456" s="25">
        <v>43866.0</v>
      </c>
      <c r="B456" s="28">
        <v>0.40555555555555556</v>
      </c>
      <c r="C456" s="5" t="s">
        <v>248</v>
      </c>
      <c r="D456" s="29">
        <v>43882.0</v>
      </c>
      <c r="E456" s="5">
        <v>14.5</v>
      </c>
      <c r="F456" s="5" t="s">
        <v>32</v>
      </c>
      <c r="G456" s="5">
        <v>14.58</v>
      </c>
      <c r="H456" s="5">
        <v>750.0</v>
      </c>
      <c r="I456" s="5">
        <v>0.5</v>
      </c>
      <c r="J456" s="5" t="s">
        <v>33</v>
      </c>
      <c r="K456" s="5">
        <v>860.0</v>
      </c>
      <c r="L456" s="5">
        <v>5347.0</v>
      </c>
      <c r="M456" s="5">
        <v>37500.0</v>
      </c>
      <c r="N456" s="15" t="str">
        <f t="array" ref="N456">IFERROR(VLOOKUP(T456,Ref_sheet!$A$1:$B$8,2,FALSE))</f>
        <v/>
      </c>
      <c r="O456" s="12">
        <v>28.0</v>
      </c>
      <c r="P456" s="5" t="s">
        <v>64</v>
      </c>
      <c r="Q456" s="5"/>
      <c r="R456" s="5" t="s">
        <v>35</v>
      </c>
      <c r="S456" s="5"/>
      <c r="T456" s="5" t="s">
        <v>46</v>
      </c>
    </row>
    <row r="457">
      <c r="A457" s="25">
        <v>43866.0</v>
      </c>
      <c r="B457" s="28">
        <v>0.40555555555555556</v>
      </c>
      <c r="C457" s="5" t="s">
        <v>44</v>
      </c>
      <c r="D457" s="29">
        <v>43938.0</v>
      </c>
      <c r="E457" s="5">
        <v>14.0</v>
      </c>
      <c r="F457" s="5" t="s">
        <v>38</v>
      </c>
      <c r="G457" s="5">
        <v>12.31</v>
      </c>
      <c r="H457" s="5">
        <v>679.0</v>
      </c>
      <c r="I457" s="5">
        <v>0.34</v>
      </c>
      <c r="J457" s="5" t="s">
        <v>39</v>
      </c>
      <c r="K457" s="5">
        <v>2473.0</v>
      </c>
      <c r="L457" s="5">
        <v>7827.0</v>
      </c>
      <c r="M457" s="5">
        <v>23086.0</v>
      </c>
      <c r="N457" s="15" t="str">
        <f t="array" ref="N457">IFERROR(VLOOKUP(T457,Ref_sheet!$A$1:$B$8,2,FALSE))</f>
        <v/>
      </c>
      <c r="O457" s="12">
        <v>10.0</v>
      </c>
      <c r="P457" s="5" t="s">
        <v>45</v>
      </c>
      <c r="Q457" s="5"/>
      <c r="R457" s="5" t="s">
        <v>41</v>
      </c>
      <c r="S457" s="5"/>
      <c r="T457" s="5" t="s">
        <v>46</v>
      </c>
    </row>
    <row r="458">
      <c r="A458" s="25">
        <v>43866.0</v>
      </c>
      <c r="B458" s="28">
        <v>0.40555555555555556</v>
      </c>
      <c r="C458" s="5" t="s">
        <v>452</v>
      </c>
      <c r="D458" s="29">
        <v>43882.0</v>
      </c>
      <c r="E458" s="5">
        <v>50.0</v>
      </c>
      <c r="F458" s="5" t="s">
        <v>38</v>
      </c>
      <c r="G458" s="5">
        <v>48.32</v>
      </c>
      <c r="H458" s="5">
        <v>1000.0</v>
      </c>
      <c r="I458" s="5">
        <v>1.15</v>
      </c>
      <c r="J458" s="5" t="s">
        <v>48</v>
      </c>
      <c r="K458" s="5">
        <v>1000.0</v>
      </c>
      <c r="L458" s="5">
        <v>1245.0</v>
      </c>
      <c r="M458" s="5">
        <v>115000.0</v>
      </c>
      <c r="N458" s="15" t="str">
        <f t="array" ref="N458">IFERROR(VLOOKUP(T458,Ref_sheet!$A$1:$B$8,2,FALSE))</f>
        <v/>
      </c>
      <c r="O458" s="12">
        <v>53.0</v>
      </c>
      <c r="P458" s="5" t="s">
        <v>40</v>
      </c>
      <c r="Q458" s="5"/>
      <c r="R458" s="5" t="s">
        <v>41</v>
      </c>
      <c r="S458" s="5"/>
      <c r="T458" s="5" t="s">
        <v>46</v>
      </c>
    </row>
    <row r="459">
      <c r="A459" s="25">
        <v>43866.0</v>
      </c>
      <c r="B459" s="28">
        <v>0.4041666666666667</v>
      </c>
      <c r="C459" s="5" t="s">
        <v>60</v>
      </c>
      <c r="D459" s="29">
        <v>43868.0</v>
      </c>
      <c r="E459" s="5">
        <v>2100.0</v>
      </c>
      <c r="F459" s="5" t="s">
        <v>38</v>
      </c>
      <c r="G459" s="5">
        <v>2056.1</v>
      </c>
      <c r="H459" s="5">
        <v>156.0</v>
      </c>
      <c r="I459" s="5">
        <v>5.5</v>
      </c>
      <c r="J459" s="5" t="s">
        <v>39</v>
      </c>
      <c r="K459" s="5">
        <v>1825.0</v>
      </c>
      <c r="L459" s="5">
        <v>4568.0</v>
      </c>
      <c r="M459" s="5">
        <v>85768.0</v>
      </c>
      <c r="N459" s="15" t="str">
        <f t="array" ref="N459">IFERROR(VLOOKUP(T459,Ref_sheet!$A$1:$B$8,2,FALSE))</f>
        <v/>
      </c>
      <c r="O459" s="12">
        <v>18.0</v>
      </c>
      <c r="P459" s="5" t="s">
        <v>51</v>
      </c>
      <c r="Q459" s="5"/>
      <c r="R459" s="5" t="s">
        <v>41</v>
      </c>
      <c r="S459" s="5"/>
      <c r="T459" s="5" t="s">
        <v>46</v>
      </c>
    </row>
    <row r="460">
      <c r="A460" s="25">
        <v>43866.0</v>
      </c>
      <c r="B460" s="28">
        <v>0.4041666666666667</v>
      </c>
      <c r="C460" s="5" t="s">
        <v>455</v>
      </c>
      <c r="D460" s="29">
        <v>43868.0</v>
      </c>
      <c r="E460" s="5">
        <v>400.0</v>
      </c>
      <c r="F460" s="5" t="s">
        <v>38</v>
      </c>
      <c r="G460" s="5">
        <v>368.98</v>
      </c>
      <c r="H460" s="5">
        <v>284.0</v>
      </c>
      <c r="I460" s="5">
        <v>1.86</v>
      </c>
      <c r="J460" s="5" t="s">
        <v>39</v>
      </c>
      <c r="K460" s="5">
        <v>613.0</v>
      </c>
      <c r="L460" s="5">
        <v>871.0</v>
      </c>
      <c r="M460" s="5">
        <v>52767.0</v>
      </c>
      <c r="N460" s="15" t="str">
        <f t="array" ref="N460">IFERROR(VLOOKUP(T460,Ref_sheet!$A$1:$B$8,2,FALSE))</f>
        <v/>
      </c>
      <c r="O460" s="12">
        <v>57.0</v>
      </c>
      <c r="P460" s="5" t="s">
        <v>53</v>
      </c>
      <c r="Q460" s="5" t="b">
        <v>1</v>
      </c>
      <c r="R460" s="5" t="s">
        <v>41</v>
      </c>
      <c r="S460" s="5"/>
      <c r="T460" s="5" t="s">
        <v>216</v>
      </c>
    </row>
    <row r="461">
      <c r="A461" s="25">
        <v>43866.0</v>
      </c>
      <c r="B461" s="28">
        <v>0.4041666666666667</v>
      </c>
      <c r="C461" s="5" t="s">
        <v>248</v>
      </c>
      <c r="D461" s="29">
        <v>43910.0</v>
      </c>
      <c r="E461" s="5">
        <v>15.0</v>
      </c>
      <c r="F461" s="5" t="s">
        <v>32</v>
      </c>
      <c r="G461" s="5">
        <v>14.57</v>
      </c>
      <c r="H461" s="5">
        <v>500.0</v>
      </c>
      <c r="I461" s="5">
        <v>1.02</v>
      </c>
      <c r="J461" s="5" t="s">
        <v>33</v>
      </c>
      <c r="K461" s="5">
        <v>2119.0</v>
      </c>
      <c r="L461" s="5">
        <v>4972.0</v>
      </c>
      <c r="M461" s="5">
        <v>51000.0</v>
      </c>
      <c r="N461" s="15" t="str">
        <f t="array" ref="N461">IFERROR(VLOOKUP(T461,Ref_sheet!$A$1:$B$8,2,FALSE))</f>
        <v/>
      </c>
      <c r="O461" s="12">
        <v>12.0</v>
      </c>
      <c r="P461" s="5" t="s">
        <v>64</v>
      </c>
      <c r="Q461" s="5"/>
      <c r="R461" s="5" t="s">
        <v>35</v>
      </c>
      <c r="S461" s="5"/>
      <c r="T461" s="5" t="s">
        <v>46</v>
      </c>
    </row>
    <row r="462">
      <c r="A462" s="25">
        <v>43866.0</v>
      </c>
      <c r="B462" s="28">
        <v>0.40347222222222223</v>
      </c>
      <c r="C462" s="5" t="s">
        <v>74</v>
      </c>
      <c r="D462" s="29">
        <v>43882.0</v>
      </c>
      <c r="E462" s="5">
        <v>15.0</v>
      </c>
      <c r="F462" s="5" t="s">
        <v>38</v>
      </c>
      <c r="G462" s="5">
        <v>14.29</v>
      </c>
      <c r="H462" s="5">
        <v>1512.0</v>
      </c>
      <c r="I462" s="5">
        <v>0.49</v>
      </c>
      <c r="J462" s="5" t="s">
        <v>39</v>
      </c>
      <c r="K462" s="5">
        <v>1525.0</v>
      </c>
      <c r="L462" s="5">
        <v>2679.0</v>
      </c>
      <c r="M462" s="5">
        <v>74045.0</v>
      </c>
      <c r="N462" s="15" t="str">
        <f t="array" ref="N462">IFERROR(VLOOKUP(T462,Ref_sheet!$A$1:$B$8,2,FALSE))</f>
        <v/>
      </c>
      <c r="O462" s="12">
        <v>44.0</v>
      </c>
      <c r="P462" s="5" t="s">
        <v>58</v>
      </c>
      <c r="Q462" s="5"/>
      <c r="R462" s="5" t="s">
        <v>41</v>
      </c>
      <c r="S462" s="5"/>
      <c r="T462" s="5" t="s">
        <v>46</v>
      </c>
    </row>
    <row r="463">
      <c r="A463" s="25">
        <v>43866.0</v>
      </c>
      <c r="B463" s="28">
        <v>0.4027777777777778</v>
      </c>
      <c r="C463" s="5" t="s">
        <v>372</v>
      </c>
      <c r="D463" s="29">
        <v>43882.0</v>
      </c>
      <c r="E463" s="5">
        <v>28.5</v>
      </c>
      <c r="F463" s="5" t="s">
        <v>32</v>
      </c>
      <c r="G463" s="5">
        <v>29.75</v>
      </c>
      <c r="H463" s="5">
        <v>500.0</v>
      </c>
      <c r="I463" s="5">
        <v>0.73</v>
      </c>
      <c r="J463" s="5" t="s">
        <v>39</v>
      </c>
      <c r="K463" s="5">
        <v>500.0</v>
      </c>
      <c r="L463" s="5">
        <v>274.0</v>
      </c>
      <c r="M463" s="5">
        <v>36500.0</v>
      </c>
      <c r="N463" s="15" t="str">
        <f t="array" ref="N463">IFERROR(VLOOKUP(T463,Ref_sheet!$A$1:$B$8,2,FALSE))</f>
        <v/>
      </c>
      <c r="O463" s="12">
        <v>53.0</v>
      </c>
      <c r="P463" s="5" t="s">
        <v>58</v>
      </c>
      <c r="Q463" s="5"/>
      <c r="R463" s="5" t="s">
        <v>35</v>
      </c>
      <c r="S463" s="5"/>
      <c r="T463" s="5" t="s">
        <v>42</v>
      </c>
    </row>
    <row r="464">
      <c r="A464" s="25">
        <v>43866.0</v>
      </c>
      <c r="B464" s="28">
        <v>0.4027777777777778</v>
      </c>
      <c r="C464" s="5" t="s">
        <v>49</v>
      </c>
      <c r="D464" s="29">
        <v>43868.0</v>
      </c>
      <c r="E464" s="5">
        <v>228.0</v>
      </c>
      <c r="F464" s="5" t="s">
        <v>32</v>
      </c>
      <c r="G464" s="5">
        <v>228.79</v>
      </c>
      <c r="H464" s="5">
        <v>1000.0</v>
      </c>
      <c r="I464" s="5">
        <v>1.07</v>
      </c>
      <c r="J464" s="5" t="s">
        <v>39</v>
      </c>
      <c r="K464" s="5">
        <v>1554.0</v>
      </c>
      <c r="L464" s="5">
        <v>1409.0</v>
      </c>
      <c r="M464" s="5">
        <v>106954.0</v>
      </c>
      <c r="N464" s="15" t="str">
        <f t="array" ref="N464">IFERROR(VLOOKUP(T464,Ref_sheet!$A$1:$B$8,2,FALSE))</f>
        <v/>
      </c>
      <c r="O464" s="12">
        <v>48.0</v>
      </c>
      <c r="P464" s="5" t="s">
        <v>34</v>
      </c>
      <c r="Q464" s="5"/>
      <c r="R464" s="5" t="s">
        <v>35</v>
      </c>
      <c r="S464" s="5"/>
      <c r="T464" s="5" t="s">
        <v>36</v>
      </c>
    </row>
    <row r="465">
      <c r="A465" s="25">
        <v>43866.0</v>
      </c>
      <c r="B465" s="28">
        <v>0.4027777777777778</v>
      </c>
      <c r="C465" s="5" t="s">
        <v>62</v>
      </c>
      <c r="D465" s="29">
        <v>43875.0</v>
      </c>
      <c r="E465" s="5">
        <v>182.5</v>
      </c>
      <c r="F465" s="5" t="s">
        <v>38</v>
      </c>
      <c r="G465" s="5">
        <v>182.28</v>
      </c>
      <c r="H465" s="5">
        <v>520.0</v>
      </c>
      <c r="I465" s="5">
        <v>2.71</v>
      </c>
      <c r="J465" s="5" t="s">
        <v>39</v>
      </c>
      <c r="K465" s="5">
        <v>1273.0</v>
      </c>
      <c r="L465" s="5">
        <v>3390.0</v>
      </c>
      <c r="M465" s="5">
        <v>140641.0</v>
      </c>
      <c r="N465" s="15" t="str">
        <f t="array" ref="N465">IFERROR(VLOOKUP(T465,Ref_sheet!$A$1:$B$8,2,FALSE))</f>
        <v/>
      </c>
      <c r="O465" s="12">
        <v>27.0</v>
      </c>
      <c r="P465" s="5" t="s">
        <v>40</v>
      </c>
      <c r="Q465" s="5"/>
      <c r="R465" s="5" t="s">
        <v>41</v>
      </c>
      <c r="S465" s="5"/>
      <c r="T465" s="5" t="s">
        <v>46</v>
      </c>
    </row>
    <row r="466">
      <c r="A466" s="25">
        <v>43866.0</v>
      </c>
      <c r="B466" s="28">
        <v>0.40208333333333335</v>
      </c>
      <c r="C466" s="5" t="s">
        <v>451</v>
      </c>
      <c r="D466" s="29">
        <v>43882.0</v>
      </c>
      <c r="E466" s="5">
        <v>40.0</v>
      </c>
      <c r="F466" s="5" t="s">
        <v>32</v>
      </c>
      <c r="G466" s="5">
        <v>40.04</v>
      </c>
      <c r="H466" s="5">
        <v>639.0</v>
      </c>
      <c r="I466" s="5">
        <v>0.55</v>
      </c>
      <c r="J466" s="5" t="s">
        <v>39</v>
      </c>
      <c r="K466" s="5">
        <v>639.0</v>
      </c>
      <c r="L466" s="5">
        <v>323.0</v>
      </c>
      <c r="M466" s="5">
        <v>35145.0</v>
      </c>
      <c r="N466" s="15" t="str">
        <f t="array" ref="N466">IFERROR(VLOOKUP(T466,Ref_sheet!$A$1:$B$8,2,FALSE))</f>
        <v/>
      </c>
      <c r="O466" s="12">
        <v>53.0</v>
      </c>
      <c r="P466" s="5" t="s">
        <v>34</v>
      </c>
      <c r="Q466" s="5"/>
      <c r="R466" s="5" t="s">
        <v>35</v>
      </c>
      <c r="S466" s="5"/>
      <c r="T466" s="5" t="s">
        <v>42</v>
      </c>
    </row>
    <row r="467">
      <c r="A467" s="25">
        <v>43866.0</v>
      </c>
      <c r="B467" s="28">
        <v>0.40208333333333335</v>
      </c>
      <c r="C467" s="5" t="s">
        <v>204</v>
      </c>
      <c r="D467" s="29">
        <v>43875.0</v>
      </c>
      <c r="E467" s="5">
        <v>18.0</v>
      </c>
      <c r="F467" s="5" t="s">
        <v>38</v>
      </c>
      <c r="G467" s="5">
        <v>17.41</v>
      </c>
      <c r="H467" s="5">
        <v>400.0</v>
      </c>
      <c r="I467" s="5">
        <v>0.25</v>
      </c>
      <c r="J467" s="5" t="s">
        <v>39</v>
      </c>
      <c r="K467" s="5">
        <v>1034.0</v>
      </c>
      <c r="L467" s="5">
        <v>365.0</v>
      </c>
      <c r="M467" s="5">
        <v>10000.0</v>
      </c>
      <c r="N467" s="15" t="str">
        <f t="array" ref="N467">IFERROR(VLOOKUP(T467,Ref_sheet!$A$1:$B$8,2,FALSE))</f>
        <v/>
      </c>
      <c r="O467" s="12">
        <v>43.0</v>
      </c>
      <c r="P467" s="5" t="s">
        <v>40</v>
      </c>
      <c r="Q467" s="5"/>
      <c r="R467" s="5" t="s">
        <v>41</v>
      </c>
      <c r="S467" s="5"/>
      <c r="T467" s="5" t="s">
        <v>42</v>
      </c>
    </row>
    <row r="468">
      <c r="A468" s="25">
        <v>43866.0</v>
      </c>
      <c r="B468" s="28">
        <v>0.40208333333333335</v>
      </c>
      <c r="C468" s="5" t="s">
        <v>329</v>
      </c>
      <c r="D468" s="29">
        <v>43868.0</v>
      </c>
      <c r="E468" s="5">
        <v>29.0</v>
      </c>
      <c r="F468" s="5" t="s">
        <v>38</v>
      </c>
      <c r="G468" s="5">
        <v>28.91</v>
      </c>
      <c r="H468" s="5">
        <v>686.0</v>
      </c>
      <c r="I468" s="5">
        <v>0.36</v>
      </c>
      <c r="J468" s="5" t="s">
        <v>48</v>
      </c>
      <c r="K468" s="5">
        <v>1118.0</v>
      </c>
      <c r="L468" s="5">
        <v>1822.0</v>
      </c>
      <c r="M468" s="5">
        <v>24696.0</v>
      </c>
      <c r="N468" s="15" t="str">
        <f t="array" ref="N468">IFERROR(VLOOKUP(T468,Ref_sheet!$A$1:$B$8,2,FALSE))</f>
        <v/>
      </c>
      <c r="O468" s="12">
        <v>34.0</v>
      </c>
      <c r="P468" s="5" t="s">
        <v>51</v>
      </c>
      <c r="Q468" s="5"/>
      <c r="R468" s="5" t="s">
        <v>41</v>
      </c>
      <c r="S468" s="5"/>
      <c r="T468" s="5" t="s">
        <v>46</v>
      </c>
    </row>
    <row r="469">
      <c r="A469" s="25">
        <v>43866.0</v>
      </c>
      <c r="B469" s="28">
        <v>0.40208333333333335</v>
      </c>
      <c r="C469" s="5" t="s">
        <v>346</v>
      </c>
      <c r="D469" s="29">
        <v>43868.0</v>
      </c>
      <c r="E469" s="5">
        <v>59.0</v>
      </c>
      <c r="F469" s="5" t="s">
        <v>38</v>
      </c>
      <c r="G469" s="5">
        <v>59.56</v>
      </c>
      <c r="H469" s="5">
        <v>1000.0</v>
      </c>
      <c r="I469" s="5">
        <v>2.09</v>
      </c>
      <c r="J469" s="5" t="s">
        <v>48</v>
      </c>
      <c r="K469" s="5">
        <v>1502.0</v>
      </c>
      <c r="L469" s="5">
        <v>536.0</v>
      </c>
      <c r="M469" s="5">
        <v>209000.0</v>
      </c>
      <c r="N469" s="15" t="str">
        <f t="array" ref="N469">IFERROR(VLOOKUP(T469,Ref_sheet!$A$1:$B$8,2,FALSE))</f>
        <v/>
      </c>
      <c r="O469" s="12">
        <v>58.0</v>
      </c>
      <c r="P469" s="5" t="s">
        <v>40</v>
      </c>
      <c r="Q469" s="5"/>
      <c r="R469" s="5" t="s">
        <v>41</v>
      </c>
      <c r="S469" s="5"/>
      <c r="T469" s="5" t="s">
        <v>42</v>
      </c>
    </row>
    <row r="470">
      <c r="A470" s="25">
        <v>43866.0</v>
      </c>
      <c r="B470" s="28">
        <v>0.40069444444444446</v>
      </c>
      <c r="C470" s="5" t="s">
        <v>457</v>
      </c>
      <c r="D470" s="29">
        <v>43868.0</v>
      </c>
      <c r="E470" s="5">
        <v>85.5</v>
      </c>
      <c r="F470" s="5" t="s">
        <v>38</v>
      </c>
      <c r="G470" s="5">
        <v>85.73</v>
      </c>
      <c r="H470" s="5">
        <v>334.0</v>
      </c>
      <c r="I470" s="5">
        <v>1.93</v>
      </c>
      <c r="J470" s="5" t="s">
        <v>39</v>
      </c>
      <c r="K470" s="5">
        <v>353.0</v>
      </c>
      <c r="L470" s="5">
        <v>321.0</v>
      </c>
      <c r="M470" s="5">
        <v>64595.0</v>
      </c>
      <c r="N470" s="15" t="str">
        <f t="array" ref="N470">IFERROR(VLOOKUP(T470,Ref_sheet!$A$1:$B$8,2,FALSE))</f>
        <v/>
      </c>
      <c r="O470" s="12">
        <v>59.0</v>
      </c>
      <c r="P470" s="5" t="s">
        <v>53</v>
      </c>
      <c r="Q470" s="5"/>
      <c r="R470" s="5" t="s">
        <v>41</v>
      </c>
      <c r="S470" s="5"/>
      <c r="T470" s="5" t="s">
        <v>42</v>
      </c>
    </row>
    <row r="471">
      <c r="A471" s="25">
        <v>43866.0</v>
      </c>
      <c r="B471" s="28">
        <v>0.3993055555555556</v>
      </c>
      <c r="C471" s="5" t="s">
        <v>458</v>
      </c>
      <c r="D471" s="29">
        <v>43868.0</v>
      </c>
      <c r="E471" s="5">
        <v>330.0</v>
      </c>
      <c r="F471" s="5" t="s">
        <v>38</v>
      </c>
      <c r="G471" s="5">
        <v>318.89</v>
      </c>
      <c r="H471" s="5">
        <v>337.0</v>
      </c>
      <c r="I471" s="5">
        <v>0.65</v>
      </c>
      <c r="J471" s="5" t="s">
        <v>39</v>
      </c>
      <c r="K471" s="5">
        <v>380.0</v>
      </c>
      <c r="L471" s="5">
        <v>601.0</v>
      </c>
      <c r="M471" s="5">
        <v>21770.0</v>
      </c>
      <c r="N471" s="15" t="str">
        <f t="array" ref="N471">IFERROR(VLOOKUP(T471,Ref_sheet!$A$1:$B$8,2,FALSE))</f>
        <v/>
      </c>
      <c r="O471" s="12">
        <v>44.0</v>
      </c>
      <c r="P471" s="5" t="s">
        <v>182</v>
      </c>
      <c r="Q471" s="5"/>
      <c r="R471" s="5" t="s">
        <v>41</v>
      </c>
      <c r="S471" s="5"/>
      <c r="T471" s="5" t="s">
        <v>46</v>
      </c>
    </row>
    <row r="472">
      <c r="A472" s="25">
        <v>43866.0</v>
      </c>
      <c r="B472" s="28">
        <v>0.3993055555555556</v>
      </c>
      <c r="C472" s="5" t="s">
        <v>464</v>
      </c>
      <c r="D472" s="29">
        <v>43875.0</v>
      </c>
      <c r="E472" s="5">
        <v>138.0</v>
      </c>
      <c r="F472" s="5" t="s">
        <v>38</v>
      </c>
      <c r="G472" s="5">
        <v>135.68</v>
      </c>
      <c r="H472" s="5">
        <v>264.0</v>
      </c>
      <c r="I472" s="5">
        <v>1.08</v>
      </c>
      <c r="J472" s="5" t="s">
        <v>39</v>
      </c>
      <c r="K472" s="5">
        <v>269.0</v>
      </c>
      <c r="L472" s="5">
        <v>277.0</v>
      </c>
      <c r="M472" s="5">
        <v>28406.0</v>
      </c>
      <c r="N472" s="15" t="str">
        <f t="array" ref="N472">IFERROR(VLOOKUP(T472,Ref_sheet!$A$1:$B$8,2,FALSE))</f>
        <v/>
      </c>
      <c r="O472" s="12">
        <v>53.0</v>
      </c>
      <c r="P472" s="5" t="s">
        <v>182</v>
      </c>
      <c r="Q472" s="5"/>
      <c r="R472" s="5" t="s">
        <v>41</v>
      </c>
      <c r="S472" s="5"/>
      <c r="T472" s="5" t="s">
        <v>46</v>
      </c>
    </row>
    <row r="473">
      <c r="A473" s="25">
        <v>43866.0</v>
      </c>
      <c r="B473" s="28">
        <v>0.39861111111111114</v>
      </c>
      <c r="C473" s="5" t="s">
        <v>260</v>
      </c>
      <c r="D473" s="29">
        <v>43910.0</v>
      </c>
      <c r="E473" s="5">
        <v>82.5</v>
      </c>
      <c r="F473" s="5" t="s">
        <v>38</v>
      </c>
      <c r="G473" s="5">
        <v>78.21</v>
      </c>
      <c r="H473" s="5">
        <v>551.0</v>
      </c>
      <c r="I473" s="5">
        <v>0.8</v>
      </c>
      <c r="J473" s="5" t="s">
        <v>33</v>
      </c>
      <c r="K473" s="5">
        <v>1575.0</v>
      </c>
      <c r="L473" s="5">
        <v>18635.0</v>
      </c>
      <c r="M473" s="5">
        <v>44080.0</v>
      </c>
      <c r="N473" s="15" t="str">
        <f t="array" ref="N473">IFERROR(VLOOKUP(T473,Ref_sheet!$A$1:$B$8,2,FALSE))</f>
        <v/>
      </c>
      <c r="O473" s="12">
        <v>11.0</v>
      </c>
      <c r="P473" s="5" t="s">
        <v>162</v>
      </c>
      <c r="Q473" s="5"/>
      <c r="R473" s="5" t="s">
        <v>41</v>
      </c>
      <c r="S473" s="5"/>
      <c r="T473" s="5" t="s">
        <v>46</v>
      </c>
    </row>
    <row r="474">
      <c r="A474" s="25">
        <v>43866.0</v>
      </c>
      <c r="B474" s="28">
        <v>0.39861111111111114</v>
      </c>
      <c r="C474" s="5" t="s">
        <v>459</v>
      </c>
      <c r="D474" s="29">
        <v>43875.0</v>
      </c>
      <c r="E474" s="5">
        <v>4.5</v>
      </c>
      <c r="F474" s="5" t="s">
        <v>38</v>
      </c>
      <c r="G474" s="5">
        <v>4.49</v>
      </c>
      <c r="H474" s="5">
        <v>545.0</v>
      </c>
      <c r="I474" s="5">
        <v>0.35</v>
      </c>
      <c r="J474" s="5" t="s">
        <v>39</v>
      </c>
      <c r="K474" s="5">
        <v>555.0</v>
      </c>
      <c r="L474" s="5">
        <v>248.0</v>
      </c>
      <c r="M474" s="5">
        <v>19075.0</v>
      </c>
      <c r="N474" s="15" t="str">
        <f t="array" ref="N474">IFERROR(VLOOKUP(T474,Ref_sheet!$A$1:$B$8,2,FALSE))</f>
        <v/>
      </c>
      <c r="O474" s="12">
        <v>55.0</v>
      </c>
      <c r="P474" s="5" t="s">
        <v>40</v>
      </c>
      <c r="Q474" s="5"/>
      <c r="R474" s="5" t="s">
        <v>41</v>
      </c>
      <c r="S474" s="5"/>
      <c r="T474" s="5" t="s">
        <v>42</v>
      </c>
    </row>
    <row r="475">
      <c r="A475" s="25">
        <v>43866.0</v>
      </c>
      <c r="B475" s="28">
        <v>0.39861111111111114</v>
      </c>
      <c r="C475" s="5" t="s">
        <v>459</v>
      </c>
      <c r="D475" s="29">
        <v>43868.0</v>
      </c>
      <c r="E475" s="5">
        <v>4.0</v>
      </c>
      <c r="F475" s="5" t="s">
        <v>38</v>
      </c>
      <c r="G475" s="5">
        <v>4.47</v>
      </c>
      <c r="H475" s="5">
        <v>545.0</v>
      </c>
      <c r="I475" s="5">
        <v>0.45</v>
      </c>
      <c r="J475" s="5" t="s">
        <v>39</v>
      </c>
      <c r="K475" s="5">
        <v>547.0</v>
      </c>
      <c r="L475" s="5">
        <v>735.0</v>
      </c>
      <c r="M475" s="5">
        <v>24525.0</v>
      </c>
      <c r="N475" s="15" t="str">
        <f t="array" ref="N475">IFERROR(VLOOKUP(T475,Ref_sheet!$A$1:$B$8,2,FALSE))</f>
        <v/>
      </c>
      <c r="O475" s="12">
        <v>51.0</v>
      </c>
      <c r="P475" s="5" t="s">
        <v>40</v>
      </c>
      <c r="Q475" s="5"/>
      <c r="R475" s="5" t="s">
        <v>41</v>
      </c>
      <c r="S475" s="5"/>
      <c r="T475" s="5" t="s">
        <v>46</v>
      </c>
    </row>
    <row r="476">
      <c r="A476" s="25">
        <v>43866.0</v>
      </c>
      <c r="B476" s="28">
        <v>0.39861111111111114</v>
      </c>
      <c r="C476" s="5" t="s">
        <v>170</v>
      </c>
      <c r="D476" s="29">
        <v>43938.0</v>
      </c>
      <c r="E476" s="5">
        <v>145.0</v>
      </c>
      <c r="F476" s="5" t="s">
        <v>38</v>
      </c>
      <c r="G476" s="5">
        <v>144.35</v>
      </c>
      <c r="H476" s="5">
        <v>500.0</v>
      </c>
      <c r="I476" s="5">
        <v>5.4</v>
      </c>
      <c r="J476" s="5" t="s">
        <v>33</v>
      </c>
      <c r="K476" s="5">
        <v>543.0</v>
      </c>
      <c r="L476" s="5">
        <v>6441.0</v>
      </c>
      <c r="M476" s="5">
        <v>270000.0</v>
      </c>
      <c r="N476" s="15" t="str">
        <f t="array" ref="N476">IFERROR(VLOOKUP(T476,Ref_sheet!$A$1:$B$8,2,FALSE))</f>
        <v/>
      </c>
      <c r="O476" s="12">
        <v>25.0</v>
      </c>
      <c r="P476" s="5" t="s">
        <v>51</v>
      </c>
      <c r="Q476" s="5"/>
      <c r="R476" s="5" t="s">
        <v>41</v>
      </c>
      <c r="S476" s="5"/>
      <c r="T476" s="5" t="s">
        <v>46</v>
      </c>
    </row>
    <row r="477">
      <c r="A477" s="25">
        <v>43866.0</v>
      </c>
      <c r="B477" s="28">
        <v>0.39791666666666664</v>
      </c>
      <c r="C477" s="5" t="s">
        <v>170</v>
      </c>
      <c r="D477" s="29">
        <v>44001.0</v>
      </c>
      <c r="E477" s="5">
        <v>145.0</v>
      </c>
      <c r="F477" s="5" t="s">
        <v>38</v>
      </c>
      <c r="G477" s="5">
        <v>144.53</v>
      </c>
      <c r="H477" s="5">
        <v>500.0</v>
      </c>
      <c r="I477" s="5">
        <v>7.9</v>
      </c>
      <c r="J477" s="5" t="s">
        <v>33</v>
      </c>
      <c r="K477" s="5">
        <v>1517.0</v>
      </c>
      <c r="L477" s="5">
        <v>7252.0</v>
      </c>
      <c r="M477" s="5">
        <v>395000.0</v>
      </c>
      <c r="N477" s="15" t="str">
        <f t="array" ref="N477">IFERROR(VLOOKUP(T477,Ref_sheet!$A$1:$B$8,2,FALSE))</f>
        <v/>
      </c>
      <c r="O477" s="12">
        <v>13.0</v>
      </c>
      <c r="P477" s="5" t="s">
        <v>51</v>
      </c>
      <c r="Q477" s="5"/>
      <c r="R477" s="5" t="s">
        <v>41</v>
      </c>
      <c r="S477" s="5"/>
      <c r="T477" s="5" t="s">
        <v>46</v>
      </c>
    </row>
    <row r="478">
      <c r="A478" s="25">
        <v>43866.0</v>
      </c>
      <c r="B478" s="28">
        <v>0.39861111111111114</v>
      </c>
      <c r="C478" s="5" t="s">
        <v>445</v>
      </c>
      <c r="D478" s="29">
        <v>43882.0</v>
      </c>
      <c r="E478" s="5">
        <v>295.0</v>
      </c>
      <c r="F478" s="5" t="s">
        <v>38</v>
      </c>
      <c r="G478" s="5">
        <v>287.66</v>
      </c>
      <c r="H478" s="5">
        <v>1075.0</v>
      </c>
      <c r="I478" s="5">
        <v>2.9</v>
      </c>
      <c r="J478" s="5" t="s">
        <v>48</v>
      </c>
      <c r="K478" s="5">
        <v>1209.0</v>
      </c>
      <c r="L478" s="5">
        <v>4402.0</v>
      </c>
      <c r="M478" s="5">
        <v>311750.0</v>
      </c>
      <c r="N478" s="15" t="str">
        <f t="array" ref="N478">IFERROR(VLOOKUP(T478,Ref_sheet!$A$1:$B$8,2,FALSE))</f>
        <v/>
      </c>
      <c r="O478" s="12">
        <v>39.0</v>
      </c>
      <c r="P478" s="5" t="s">
        <v>53</v>
      </c>
      <c r="Q478" s="5"/>
      <c r="R478" s="5" t="s">
        <v>41</v>
      </c>
      <c r="S478" s="5"/>
      <c r="T478" s="5" t="s">
        <v>46</v>
      </c>
    </row>
    <row r="479">
      <c r="A479" s="25">
        <v>43866.0</v>
      </c>
      <c r="B479" s="28">
        <v>0.39791666666666664</v>
      </c>
      <c r="C479" s="5" t="s">
        <v>131</v>
      </c>
      <c r="D479" s="29">
        <v>43875.0</v>
      </c>
      <c r="E479" s="5">
        <v>17.5</v>
      </c>
      <c r="F479" s="5" t="s">
        <v>32</v>
      </c>
      <c r="G479" s="5">
        <v>17.79</v>
      </c>
      <c r="H479" s="5">
        <v>3993.0</v>
      </c>
      <c r="I479" s="5">
        <v>0.49</v>
      </c>
      <c r="J479" s="5" t="s">
        <v>39</v>
      </c>
      <c r="K479" s="5">
        <v>4053.0</v>
      </c>
      <c r="L479" s="5">
        <v>412.0</v>
      </c>
      <c r="M479" s="5">
        <v>194737.0</v>
      </c>
      <c r="N479" s="15" t="str">
        <f t="array" ref="N479">IFERROR(VLOOKUP(T479,Ref_sheet!$A$1:$B$8,2,FALSE))</f>
        <v/>
      </c>
      <c r="O479" s="12">
        <v>60.0</v>
      </c>
      <c r="P479" s="5" t="s">
        <v>40</v>
      </c>
      <c r="Q479" s="5"/>
      <c r="R479" s="5" t="s">
        <v>35</v>
      </c>
      <c r="S479" s="5"/>
      <c r="T479" s="5" t="s">
        <v>42</v>
      </c>
    </row>
    <row r="480">
      <c r="A480" s="25">
        <v>43866.0</v>
      </c>
      <c r="B480" s="28">
        <v>0.39791666666666664</v>
      </c>
      <c r="C480" s="5" t="s">
        <v>131</v>
      </c>
      <c r="D480" s="29">
        <v>43875.0</v>
      </c>
      <c r="E480" s="5">
        <v>17.5</v>
      </c>
      <c r="F480" s="5" t="s">
        <v>32</v>
      </c>
      <c r="G480" s="5">
        <v>17.79</v>
      </c>
      <c r="H480" s="5">
        <v>582.0</v>
      </c>
      <c r="I480" s="5">
        <v>0.49</v>
      </c>
      <c r="J480" s="5" t="s">
        <v>48</v>
      </c>
      <c r="K480" s="5">
        <v>1345.0</v>
      </c>
      <c r="L480" s="5">
        <v>412.0</v>
      </c>
      <c r="M480" s="5">
        <v>28518.0</v>
      </c>
      <c r="N480" s="15" t="str">
        <f t="array" ref="N480">IFERROR(VLOOKUP(T480,Ref_sheet!$A$1:$B$8,2,FALSE))</f>
        <v/>
      </c>
      <c r="O480" s="12">
        <v>44.0</v>
      </c>
      <c r="P480" s="5" t="s">
        <v>40</v>
      </c>
      <c r="Q480" s="5"/>
      <c r="R480" s="5" t="s">
        <v>35</v>
      </c>
      <c r="S480" s="5"/>
      <c r="T480" s="5" t="s">
        <v>42</v>
      </c>
    </row>
    <row r="481">
      <c r="A481" s="25">
        <v>43866.0</v>
      </c>
      <c r="B481" s="28">
        <v>0.39791666666666664</v>
      </c>
      <c r="C481" s="5" t="s">
        <v>131</v>
      </c>
      <c r="D481" s="29">
        <v>43875.0</v>
      </c>
      <c r="E481" s="5">
        <v>17.5</v>
      </c>
      <c r="F481" s="5" t="s">
        <v>32</v>
      </c>
      <c r="G481" s="5">
        <v>17.79</v>
      </c>
      <c r="H481" s="5">
        <v>580.0</v>
      </c>
      <c r="I481" s="5">
        <v>0.49</v>
      </c>
      <c r="J481" s="5" t="s">
        <v>48</v>
      </c>
      <c r="K481" s="5">
        <v>2312.0</v>
      </c>
      <c r="L481" s="5">
        <v>412.0</v>
      </c>
      <c r="M481" s="5">
        <v>28420.0</v>
      </c>
      <c r="N481" s="15" t="str">
        <f t="array" ref="N481">IFERROR(VLOOKUP(T481,Ref_sheet!$A$1:$B$8,2,FALSE))</f>
        <v/>
      </c>
      <c r="O481" s="12">
        <v>40.0</v>
      </c>
      <c r="P481" s="5" t="s">
        <v>40</v>
      </c>
      <c r="Q481" s="5"/>
      <c r="R481" s="5" t="s">
        <v>35</v>
      </c>
      <c r="S481" s="5"/>
      <c r="T481" s="5" t="s">
        <v>42</v>
      </c>
    </row>
    <row r="482">
      <c r="A482" s="25">
        <v>43866.0</v>
      </c>
      <c r="B482" s="28">
        <v>0.39791666666666664</v>
      </c>
      <c r="C482" s="5" t="s">
        <v>50</v>
      </c>
      <c r="D482" s="29">
        <v>43882.0</v>
      </c>
      <c r="E482" s="5">
        <v>36.0</v>
      </c>
      <c r="F482" s="5" t="s">
        <v>32</v>
      </c>
      <c r="G482" s="5">
        <v>38.97</v>
      </c>
      <c r="H482" s="5">
        <v>721.0</v>
      </c>
      <c r="I482" s="5">
        <v>2.55</v>
      </c>
      <c r="J482" s="5" t="s">
        <v>33</v>
      </c>
      <c r="K482" s="5">
        <v>1019.0</v>
      </c>
      <c r="L482" s="5">
        <v>6912.0</v>
      </c>
      <c r="M482" s="5">
        <v>183830.0</v>
      </c>
      <c r="N482" s="15" t="str">
        <f t="array" ref="N482">IFERROR(VLOOKUP(T482,Ref_sheet!$A$1:$B$8,2,FALSE))</f>
        <v/>
      </c>
      <c r="O482" s="12">
        <v>29.0</v>
      </c>
      <c r="P482" s="5" t="s">
        <v>51</v>
      </c>
      <c r="Q482" s="5"/>
      <c r="R482" s="5" t="s">
        <v>35</v>
      </c>
      <c r="S482" s="5"/>
      <c r="T482" s="5" t="s">
        <v>46</v>
      </c>
    </row>
    <row r="483">
      <c r="A483" s="25">
        <v>43866.0</v>
      </c>
      <c r="B483" s="28">
        <v>0.39791666666666664</v>
      </c>
      <c r="C483" s="5" t="s">
        <v>356</v>
      </c>
      <c r="D483" s="29">
        <v>43868.0</v>
      </c>
      <c r="E483" s="5">
        <v>56.5</v>
      </c>
      <c r="F483" s="5" t="s">
        <v>32</v>
      </c>
      <c r="G483" s="5">
        <v>56.86</v>
      </c>
      <c r="H483" s="5">
        <v>705.0</v>
      </c>
      <c r="I483" s="5">
        <v>0.59</v>
      </c>
      <c r="J483" s="5" t="s">
        <v>39</v>
      </c>
      <c r="K483" s="5">
        <v>729.0</v>
      </c>
      <c r="L483" s="5">
        <v>283.0</v>
      </c>
      <c r="M483" s="5">
        <v>41627.0</v>
      </c>
      <c r="N483" s="15" t="str">
        <f t="array" ref="N483">IFERROR(VLOOKUP(T483,Ref_sheet!$A$1:$B$8,2,FALSE))</f>
        <v/>
      </c>
      <c r="O483" s="12">
        <v>57.0</v>
      </c>
      <c r="P483" s="5" t="s">
        <v>40</v>
      </c>
      <c r="Q483" s="5"/>
      <c r="R483" s="5" t="s">
        <v>35</v>
      </c>
      <c r="S483" s="5"/>
      <c r="T483" s="5" t="s">
        <v>42</v>
      </c>
    </row>
    <row r="484">
      <c r="A484" s="25">
        <v>43866.0</v>
      </c>
      <c r="B484" s="28">
        <v>0.39791666666666664</v>
      </c>
      <c r="C484" s="5" t="s">
        <v>62</v>
      </c>
      <c r="D484" s="29">
        <v>43896.0</v>
      </c>
      <c r="E484" s="5">
        <v>195.0</v>
      </c>
      <c r="F484" s="5" t="s">
        <v>38</v>
      </c>
      <c r="G484" s="5">
        <v>183.59</v>
      </c>
      <c r="H484" s="5">
        <v>500.0</v>
      </c>
      <c r="I484" s="5">
        <v>1.22</v>
      </c>
      <c r="J484" s="5" t="s">
        <v>33</v>
      </c>
      <c r="K484" s="5">
        <v>507.0</v>
      </c>
      <c r="L484" s="5">
        <v>139.0</v>
      </c>
      <c r="M484" s="5">
        <v>61000.0</v>
      </c>
      <c r="N484" s="15" t="str">
        <f t="array" ref="N484">IFERROR(VLOOKUP(T484,Ref_sheet!$A$1:$B$8,2,FALSE))</f>
        <v/>
      </c>
      <c r="O484" s="12">
        <v>52.0</v>
      </c>
      <c r="P484" s="5" t="s">
        <v>40</v>
      </c>
      <c r="Q484" s="5"/>
      <c r="R484" s="5" t="s">
        <v>41</v>
      </c>
      <c r="S484" s="5"/>
      <c r="T484" s="5" t="s">
        <v>42</v>
      </c>
    </row>
    <row r="485">
      <c r="A485" s="25">
        <v>43866.0</v>
      </c>
      <c r="B485" s="28">
        <v>0.39791666666666664</v>
      </c>
      <c r="C485" s="5" t="s">
        <v>413</v>
      </c>
      <c r="D485" s="29">
        <v>43875.0</v>
      </c>
      <c r="E485" s="5">
        <v>152.5</v>
      </c>
      <c r="F485" s="5" t="s">
        <v>32</v>
      </c>
      <c r="G485" s="5">
        <v>151.53</v>
      </c>
      <c r="H485" s="5">
        <v>500.0</v>
      </c>
      <c r="I485" s="5">
        <v>3.55</v>
      </c>
      <c r="J485" s="5" t="s">
        <v>39</v>
      </c>
      <c r="K485" s="5">
        <v>500.0</v>
      </c>
      <c r="L485" s="5">
        <v>6.0</v>
      </c>
      <c r="M485" s="5">
        <v>177578.0</v>
      </c>
      <c r="N485" s="15" t="str">
        <f t="array" ref="N485">IFERROR(VLOOKUP(T485,Ref_sheet!$A$1:$B$8,2,FALSE))</f>
        <v/>
      </c>
      <c r="O485" s="12">
        <v>60.0</v>
      </c>
      <c r="P485" s="5" t="s">
        <v>40</v>
      </c>
      <c r="Q485" s="5"/>
      <c r="R485" s="5" t="s">
        <v>35</v>
      </c>
      <c r="S485" s="5"/>
      <c r="T485" s="5" t="s">
        <v>42</v>
      </c>
    </row>
    <row r="486">
      <c r="A486" s="25">
        <v>43866.0</v>
      </c>
      <c r="B486" s="28">
        <v>0.3972222222222222</v>
      </c>
      <c r="C486" s="5" t="s">
        <v>343</v>
      </c>
      <c r="D486" s="29">
        <v>43882.0</v>
      </c>
      <c r="E486" s="5">
        <v>250.0</v>
      </c>
      <c r="F486" s="5" t="s">
        <v>38</v>
      </c>
      <c r="G486" s="5">
        <v>251.33</v>
      </c>
      <c r="H486" s="5">
        <v>276.0</v>
      </c>
      <c r="I486" s="5">
        <v>11.0</v>
      </c>
      <c r="J486" s="5" t="s">
        <v>39</v>
      </c>
      <c r="K486" s="5">
        <v>963.0</v>
      </c>
      <c r="L486" s="5">
        <v>18902.0</v>
      </c>
      <c r="M486" s="5">
        <v>303600.0</v>
      </c>
      <c r="N486" s="15" t="str">
        <f t="array" ref="N486">IFERROR(VLOOKUP(T486,Ref_sheet!$A$1:$B$8,2,FALSE))</f>
        <v/>
      </c>
      <c r="O486" s="12">
        <v>22.0</v>
      </c>
      <c r="P486" s="5" t="s">
        <v>40</v>
      </c>
      <c r="Q486" s="5"/>
      <c r="R486" s="5" t="s">
        <v>41</v>
      </c>
      <c r="S486" s="5"/>
      <c r="T486" s="5" t="s">
        <v>46</v>
      </c>
    </row>
    <row r="487">
      <c r="A487" s="25">
        <v>43866.0</v>
      </c>
      <c r="B487" s="28">
        <v>0.3972222222222222</v>
      </c>
      <c r="C487" s="5" t="s">
        <v>458</v>
      </c>
      <c r="D487" s="29">
        <v>43868.0</v>
      </c>
      <c r="E487" s="5">
        <v>325.0</v>
      </c>
      <c r="F487" s="5" t="s">
        <v>38</v>
      </c>
      <c r="G487" s="5">
        <v>317.83</v>
      </c>
      <c r="H487" s="5">
        <v>295.0</v>
      </c>
      <c r="I487" s="5">
        <v>1.11</v>
      </c>
      <c r="J487" s="5" t="s">
        <v>39</v>
      </c>
      <c r="K487" s="5">
        <v>613.0</v>
      </c>
      <c r="L487" s="5">
        <v>652.0</v>
      </c>
      <c r="M487" s="5">
        <v>32715.0</v>
      </c>
      <c r="N487" s="15" t="str">
        <f t="array" ref="N487">IFERROR(VLOOKUP(T487,Ref_sheet!$A$1:$B$8,2,FALSE))</f>
        <v/>
      </c>
      <c r="O487" s="12">
        <v>33.0</v>
      </c>
      <c r="P487" s="5" t="s">
        <v>182</v>
      </c>
      <c r="Q487" s="5"/>
      <c r="R487" s="5" t="s">
        <v>41</v>
      </c>
      <c r="S487" s="5"/>
      <c r="T487" s="5" t="s">
        <v>46</v>
      </c>
    </row>
    <row r="488">
      <c r="A488" s="25">
        <v>43866.0</v>
      </c>
      <c r="B488" s="28">
        <v>0.3972222222222222</v>
      </c>
      <c r="C488" s="5" t="s">
        <v>343</v>
      </c>
      <c r="D488" s="29">
        <v>43882.0</v>
      </c>
      <c r="E488" s="5">
        <v>250.0</v>
      </c>
      <c r="F488" s="5" t="s">
        <v>38</v>
      </c>
      <c r="G488" s="5">
        <v>251.22</v>
      </c>
      <c r="H488" s="5">
        <v>419.0</v>
      </c>
      <c r="I488" s="5">
        <v>10.87</v>
      </c>
      <c r="J488" s="5" t="s">
        <v>39</v>
      </c>
      <c r="K488" s="5">
        <v>686.0</v>
      </c>
      <c r="L488" s="5">
        <v>18902.0</v>
      </c>
      <c r="M488" s="5">
        <v>455350.0</v>
      </c>
      <c r="N488" s="15" t="str">
        <f t="array" ref="N488">IFERROR(VLOOKUP(T488,Ref_sheet!$A$1:$B$8,2,FALSE))</f>
        <v/>
      </c>
      <c r="O488" s="12">
        <v>28.0</v>
      </c>
      <c r="P488" s="5" t="s">
        <v>40</v>
      </c>
      <c r="Q488" s="5"/>
      <c r="R488" s="5" t="s">
        <v>41</v>
      </c>
      <c r="S488" s="5"/>
      <c r="T488" s="5" t="s">
        <v>46</v>
      </c>
    </row>
    <row r="489">
      <c r="A489" s="25">
        <v>43866.0</v>
      </c>
      <c r="B489" s="28">
        <v>0.3972222222222222</v>
      </c>
      <c r="C489" s="5" t="s">
        <v>44</v>
      </c>
      <c r="D489" s="29">
        <v>43882.0</v>
      </c>
      <c r="E489" s="5">
        <v>12.5</v>
      </c>
      <c r="F489" s="5" t="s">
        <v>38</v>
      </c>
      <c r="G489" s="5">
        <v>12.43</v>
      </c>
      <c r="H489" s="5">
        <v>925.0</v>
      </c>
      <c r="I489" s="5">
        <v>0.4</v>
      </c>
      <c r="J489" s="5" t="s">
        <v>48</v>
      </c>
      <c r="K489" s="5">
        <v>930.0</v>
      </c>
      <c r="L489" s="5">
        <v>10468.0</v>
      </c>
      <c r="M489" s="5">
        <v>37000.0</v>
      </c>
      <c r="N489" s="15" t="str">
        <f t="array" ref="N489">IFERROR(VLOOKUP(T489,Ref_sheet!$A$1:$B$8,2,FALSE))</f>
        <v/>
      </c>
      <c r="O489" s="12">
        <v>30.0</v>
      </c>
      <c r="P489" s="5" t="s">
        <v>45</v>
      </c>
      <c r="Q489" s="5"/>
      <c r="R489" s="5" t="s">
        <v>41</v>
      </c>
      <c r="S489" s="5"/>
      <c r="T489" s="5" t="s">
        <v>46</v>
      </c>
    </row>
    <row r="490">
      <c r="A490" s="25">
        <v>43866.0</v>
      </c>
      <c r="B490" s="28">
        <v>0.39652777777777776</v>
      </c>
      <c r="C490" s="5" t="s">
        <v>62</v>
      </c>
      <c r="D490" s="29">
        <v>43875.0</v>
      </c>
      <c r="E490" s="5">
        <v>190.0</v>
      </c>
      <c r="F490" s="5" t="s">
        <v>38</v>
      </c>
      <c r="G490" s="5">
        <v>183.12</v>
      </c>
      <c r="H490" s="5">
        <v>499.0</v>
      </c>
      <c r="I490" s="5">
        <v>0.8</v>
      </c>
      <c r="J490" s="5" t="s">
        <v>39</v>
      </c>
      <c r="K490" s="5">
        <v>721.0</v>
      </c>
      <c r="L490" s="5">
        <v>1285.0</v>
      </c>
      <c r="M490" s="5">
        <v>39920.0</v>
      </c>
      <c r="N490" s="15" t="str">
        <f t="array" ref="N490">IFERROR(VLOOKUP(T490,Ref_sheet!$A$1:$B$8,2,FALSE))</f>
        <v/>
      </c>
      <c r="O490" s="12">
        <v>34.0</v>
      </c>
      <c r="P490" s="5" t="s">
        <v>40</v>
      </c>
      <c r="Q490" s="5"/>
      <c r="R490" s="5" t="s">
        <v>41</v>
      </c>
      <c r="S490" s="5"/>
      <c r="T490" s="5" t="s">
        <v>46</v>
      </c>
    </row>
    <row r="491">
      <c r="A491" s="25">
        <v>43866.0</v>
      </c>
      <c r="B491" s="28">
        <v>0.3972222222222222</v>
      </c>
      <c r="C491" s="5" t="s">
        <v>266</v>
      </c>
      <c r="D491" s="29">
        <v>43868.0</v>
      </c>
      <c r="E491" s="5">
        <v>38.0</v>
      </c>
      <c r="F491" s="5" t="s">
        <v>38</v>
      </c>
      <c r="G491" s="5">
        <v>37.96</v>
      </c>
      <c r="H491" s="5">
        <v>1010.0</v>
      </c>
      <c r="I491" s="5">
        <v>0.23</v>
      </c>
      <c r="J491" s="5" t="s">
        <v>39</v>
      </c>
      <c r="K491" s="5">
        <v>1013.0</v>
      </c>
      <c r="L491" s="5">
        <v>2622.0</v>
      </c>
      <c r="M491" s="5">
        <v>23220.0</v>
      </c>
      <c r="N491" s="15" t="str">
        <f t="array" ref="N491">IFERROR(VLOOKUP(T491,Ref_sheet!$A$1:$B$8,2,FALSE))</f>
        <v/>
      </c>
      <c r="O491" s="12">
        <v>42.0</v>
      </c>
      <c r="P491" s="5" t="s">
        <v>53</v>
      </c>
      <c r="Q491" s="5"/>
      <c r="R491" s="5" t="s">
        <v>41</v>
      </c>
      <c r="S491" s="5"/>
      <c r="T491" s="5" t="s">
        <v>46</v>
      </c>
    </row>
    <row r="492">
      <c r="A492" s="25">
        <v>43866.0</v>
      </c>
      <c r="B492" s="28">
        <v>0.39652777777777776</v>
      </c>
      <c r="C492" s="5" t="s">
        <v>203</v>
      </c>
      <c r="D492" s="29">
        <v>43868.0</v>
      </c>
      <c r="E492" s="5">
        <v>325.0</v>
      </c>
      <c r="F492" s="5" t="s">
        <v>38</v>
      </c>
      <c r="G492" s="5">
        <v>324.56</v>
      </c>
      <c r="H492" s="5">
        <v>520.0</v>
      </c>
      <c r="I492" s="5">
        <v>2.55</v>
      </c>
      <c r="J492" s="5" t="s">
        <v>39</v>
      </c>
      <c r="K492" s="5">
        <v>3568.0</v>
      </c>
      <c r="L492" s="5">
        <v>13637.0</v>
      </c>
      <c r="M492" s="5">
        <v>132357.0</v>
      </c>
      <c r="N492" s="15" t="str">
        <f t="array" ref="N492">IFERROR(VLOOKUP(T492,Ref_sheet!$A$1:$B$8,2,FALSE))</f>
        <v/>
      </c>
      <c r="O492" s="12">
        <v>21.0</v>
      </c>
      <c r="P492" s="5" t="s">
        <v>40</v>
      </c>
      <c r="Q492" s="5"/>
      <c r="R492" s="5" t="s">
        <v>41</v>
      </c>
      <c r="S492" s="5"/>
      <c r="T492" s="5" t="s">
        <v>46</v>
      </c>
    </row>
    <row r="493">
      <c r="A493" s="25">
        <v>43866.0</v>
      </c>
      <c r="B493" s="28">
        <v>0.39652777777777776</v>
      </c>
      <c r="C493" s="5" t="s">
        <v>203</v>
      </c>
      <c r="D493" s="29">
        <v>43868.0</v>
      </c>
      <c r="E493" s="5">
        <v>325.0</v>
      </c>
      <c r="F493" s="5" t="s">
        <v>38</v>
      </c>
      <c r="G493" s="5">
        <v>324.55</v>
      </c>
      <c r="H493" s="5">
        <v>525.0</v>
      </c>
      <c r="I493" s="5">
        <v>2.57</v>
      </c>
      <c r="J493" s="5" t="s">
        <v>39</v>
      </c>
      <c r="K493" s="5">
        <v>4093.0</v>
      </c>
      <c r="L493" s="5">
        <v>13637.0</v>
      </c>
      <c r="M493" s="5">
        <v>134756.0</v>
      </c>
      <c r="N493" s="15" t="str">
        <f t="array" ref="N493">IFERROR(VLOOKUP(T493,Ref_sheet!$A$1:$B$8,2,FALSE))</f>
        <v/>
      </c>
      <c r="O493" s="12">
        <v>21.0</v>
      </c>
      <c r="P493" s="5" t="s">
        <v>40</v>
      </c>
      <c r="Q493" s="5"/>
      <c r="R493" s="5" t="s">
        <v>41</v>
      </c>
      <c r="S493" s="5"/>
      <c r="T493" s="5" t="s">
        <v>46</v>
      </c>
    </row>
    <row r="494">
      <c r="A494" s="25">
        <v>43866.0</v>
      </c>
      <c r="B494" s="28">
        <v>0.3958333333333333</v>
      </c>
      <c r="C494" s="5" t="s">
        <v>106</v>
      </c>
      <c r="D494" s="29">
        <v>43882.0</v>
      </c>
      <c r="E494" s="5">
        <v>8.0</v>
      </c>
      <c r="F494" s="5" t="s">
        <v>38</v>
      </c>
      <c r="G494" s="5">
        <v>7.7</v>
      </c>
      <c r="H494" s="5">
        <v>2133.0</v>
      </c>
      <c r="I494" s="5">
        <v>0.28</v>
      </c>
      <c r="J494" s="5" t="s">
        <v>39</v>
      </c>
      <c r="K494" s="5">
        <v>2801.0</v>
      </c>
      <c r="L494" s="5">
        <v>17054.0</v>
      </c>
      <c r="M494" s="5">
        <v>59724.0</v>
      </c>
      <c r="N494" s="15" t="str">
        <f t="array" ref="N494">IFERROR(VLOOKUP(T494,Ref_sheet!$A$1:$B$8,2,FALSE))</f>
        <v/>
      </c>
      <c r="O494" s="12">
        <v>28.0</v>
      </c>
      <c r="P494" s="5" t="s">
        <v>45</v>
      </c>
      <c r="Q494" s="5"/>
      <c r="R494" s="5" t="s">
        <v>41</v>
      </c>
      <c r="S494" s="5"/>
      <c r="T494" s="5" t="s">
        <v>46</v>
      </c>
    </row>
    <row r="495">
      <c r="A495" s="25">
        <v>43866.0</v>
      </c>
      <c r="B495" s="28">
        <v>0.3958333333333333</v>
      </c>
      <c r="C495" s="5" t="s">
        <v>31</v>
      </c>
      <c r="D495" s="29">
        <v>43896.0</v>
      </c>
      <c r="E495" s="5">
        <v>329.0</v>
      </c>
      <c r="F495" s="5" t="s">
        <v>32</v>
      </c>
      <c r="G495" s="5">
        <v>332.41</v>
      </c>
      <c r="H495" s="5">
        <v>3152.0</v>
      </c>
      <c r="I495" s="5">
        <v>3.83</v>
      </c>
      <c r="J495" s="5" t="s">
        <v>39</v>
      </c>
      <c r="K495" s="5">
        <v>3154.0</v>
      </c>
      <c r="L495" s="5">
        <v>810.0</v>
      </c>
      <c r="M495" s="5">
        <v>1205920.0</v>
      </c>
      <c r="N495" s="15" t="str">
        <f t="array" ref="N495">IFERROR(VLOOKUP(T495,Ref_sheet!$A$1:$B$8,2,FALSE))</f>
        <v/>
      </c>
      <c r="O495" s="12">
        <v>117.0</v>
      </c>
      <c r="P495" s="5" t="s">
        <v>34</v>
      </c>
      <c r="Q495" s="5"/>
      <c r="R495" s="5" t="s">
        <v>35</v>
      </c>
      <c r="S495" s="5" t="b">
        <v>1</v>
      </c>
      <c r="T495" s="5" t="s">
        <v>42</v>
      </c>
    </row>
    <row r="496">
      <c r="A496" s="25">
        <v>43866.0</v>
      </c>
      <c r="B496" s="28">
        <v>0.39652777777777776</v>
      </c>
      <c r="C496" s="5" t="s">
        <v>385</v>
      </c>
      <c r="D496" s="29">
        <v>43868.0</v>
      </c>
      <c r="E496" s="5">
        <v>68.0</v>
      </c>
      <c r="F496" s="5" t="s">
        <v>32</v>
      </c>
      <c r="G496" s="5">
        <v>68.8</v>
      </c>
      <c r="H496" s="5">
        <v>972.0</v>
      </c>
      <c r="I496" s="5">
        <v>0.31</v>
      </c>
      <c r="J496" s="5" t="s">
        <v>48</v>
      </c>
      <c r="K496" s="5">
        <v>1000.0</v>
      </c>
      <c r="L496" s="5">
        <v>1465.0</v>
      </c>
      <c r="M496" s="5">
        <v>30132.0</v>
      </c>
      <c r="N496" s="15" t="str">
        <f t="array" ref="N496">IFERROR(VLOOKUP(T496,Ref_sheet!$A$1:$B$8,2,FALSE))</f>
        <v/>
      </c>
      <c r="O496" s="12">
        <v>49.0</v>
      </c>
      <c r="P496" s="5" t="s">
        <v>51</v>
      </c>
      <c r="Q496" s="5"/>
      <c r="R496" s="5" t="s">
        <v>35</v>
      </c>
      <c r="S496" s="5"/>
      <c r="T496" s="5" t="s">
        <v>46</v>
      </c>
    </row>
    <row r="497">
      <c r="A497" s="25">
        <v>43866.0</v>
      </c>
      <c r="B497" s="28">
        <v>0.3958333333333333</v>
      </c>
      <c r="C497" s="5" t="s">
        <v>329</v>
      </c>
      <c r="D497" s="29">
        <v>43875.0</v>
      </c>
      <c r="E497" s="5">
        <v>28.5</v>
      </c>
      <c r="F497" s="5" t="s">
        <v>38</v>
      </c>
      <c r="G497" s="5">
        <v>28.98</v>
      </c>
      <c r="H497" s="5">
        <v>2706.0</v>
      </c>
      <c r="I497" s="5">
        <v>1.0</v>
      </c>
      <c r="J497" s="5" t="s">
        <v>33</v>
      </c>
      <c r="K497" s="5">
        <v>2706.0</v>
      </c>
      <c r="L497" s="5">
        <v>1630.0</v>
      </c>
      <c r="M497" s="5">
        <v>270600.0</v>
      </c>
      <c r="N497" s="15" t="str">
        <f t="array" ref="N497">IFERROR(VLOOKUP(T497,Ref_sheet!$A$1:$B$8,2,FALSE))</f>
        <v/>
      </c>
      <c r="O497" s="12">
        <v>63.0</v>
      </c>
      <c r="P497" s="5" t="s">
        <v>51</v>
      </c>
      <c r="Q497" s="5"/>
      <c r="R497" s="5" t="s">
        <v>41</v>
      </c>
      <c r="S497" s="5"/>
      <c r="T497" s="5" t="s">
        <v>42</v>
      </c>
    </row>
    <row r="498">
      <c r="A498" s="25">
        <v>43866.0</v>
      </c>
      <c r="B498" s="28">
        <v>0.3958333333333333</v>
      </c>
      <c r="C498" s="5" t="s">
        <v>453</v>
      </c>
      <c r="D498" s="29">
        <v>43938.0</v>
      </c>
      <c r="E498" s="5">
        <v>75.0</v>
      </c>
      <c r="F498" s="5" t="s">
        <v>38</v>
      </c>
      <c r="G498" s="5">
        <v>69.38</v>
      </c>
      <c r="H498" s="5">
        <v>671.0</v>
      </c>
      <c r="I498" s="5">
        <v>1.5</v>
      </c>
      <c r="J498" s="5" t="s">
        <v>48</v>
      </c>
      <c r="K498" s="5">
        <v>671.0</v>
      </c>
      <c r="L498" s="5">
        <v>1672.0</v>
      </c>
      <c r="M498" s="5">
        <v>100650.0</v>
      </c>
      <c r="N498" s="15" t="str">
        <f t="array" ref="N498">IFERROR(VLOOKUP(T498,Ref_sheet!$A$1:$B$8,2,FALSE))</f>
        <v/>
      </c>
      <c r="O498" s="12">
        <v>34.0</v>
      </c>
      <c r="P498" s="5" t="s">
        <v>51</v>
      </c>
      <c r="Q498" s="5"/>
      <c r="R498" s="5" t="s">
        <v>41</v>
      </c>
      <c r="S498" s="5"/>
      <c r="T498" s="5" t="s">
        <v>46</v>
      </c>
    </row>
    <row r="499">
      <c r="A499" s="25">
        <v>43866.0</v>
      </c>
      <c r="B499" s="28">
        <v>0.3958333333333333</v>
      </c>
      <c r="C499" s="5" t="s">
        <v>70</v>
      </c>
      <c r="D499" s="29">
        <v>43910.0</v>
      </c>
      <c r="E499" s="5">
        <v>27.0</v>
      </c>
      <c r="F499" s="5" t="s">
        <v>38</v>
      </c>
      <c r="G499" s="5">
        <v>33.61</v>
      </c>
      <c r="H499" s="5">
        <v>155.0</v>
      </c>
      <c r="I499" s="5">
        <v>7.3</v>
      </c>
      <c r="J499" s="5" t="s">
        <v>48</v>
      </c>
      <c r="K499" s="5">
        <v>600.0</v>
      </c>
      <c r="L499" s="5">
        <v>355.0</v>
      </c>
      <c r="M499" s="5">
        <v>113150.0</v>
      </c>
      <c r="N499" s="15" t="str">
        <f t="array" ref="N499">IFERROR(VLOOKUP(T499,Ref_sheet!$A$1:$B$8,2,FALSE))</f>
        <v/>
      </c>
      <c r="O499" s="12">
        <v>23.0</v>
      </c>
      <c r="P499" s="5" t="s">
        <v>58</v>
      </c>
      <c r="Q499" s="5"/>
      <c r="R499" s="5" t="s">
        <v>41</v>
      </c>
      <c r="S499" s="5"/>
      <c r="T499" s="5" t="s">
        <v>36</v>
      </c>
    </row>
  </sheetData>
  <customSheetViews>
    <customSheetView guid="{09A0A77C-57F8-427C-BB2B-86F771C57C5F}" filter="1" showAutoFilter="1">
      <autoFilter ref="$J$2:$J$499"/>
    </customSheetView>
    <customSheetView guid="{D450D817-EBF0-4EFC-8376-F2E7BACA5AB9}" filter="1" showAutoFilter="1">
      <autoFilter ref="$A$1:$T$499"/>
    </customSheetView>
    <customSheetView guid="{B6E1F605-C7B8-4E6F-8E57-45F13524847D}" filter="1" showAutoFilter="1">
      <autoFilter ref="$A$1:$T$499"/>
    </customSheetView>
    <customSheetView guid="{C2A58AB1-EAA8-4392-96FE-BDEBD5B310D7}" filter="1" showAutoFilter="1">
      <autoFilter ref="$A$1:$S$499"/>
    </customSheetView>
  </customSheetViews>
  <conditionalFormatting sqref="C2:C499 F2:F499 M2:M499">
    <cfRule type="expression" dxfId="7" priority="1">
      <formula>$F2="CALLS"</formula>
    </cfRule>
  </conditionalFormatting>
  <conditionalFormatting sqref="C2:C499 F2:F499 M2:M499">
    <cfRule type="expression" dxfId="8" priority="2">
      <formula>$F2="PUTS"</formula>
    </cfRule>
  </conditionalFormatting>
  <conditionalFormatting sqref="E1:E499">
    <cfRule type="expression" dxfId="0" priority="3">
      <formula>OR(AND(($F2="CALLS"),($E2&lt;$G2)),AND(($F2="PUTS"),($E2&gt;$G2)))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0.57"/>
    <col customWidth="1" min="2" max="2" width="15.86"/>
    <col customWidth="1" min="3" max="3" width="9.43"/>
    <col customWidth="1" min="4" max="4" width="17.14"/>
    <col customWidth="1" min="6" max="6" width="15.14"/>
  </cols>
  <sheetData>
    <row r="1">
      <c r="A1" s="1" t="s">
        <v>0</v>
      </c>
      <c r="B1" s="1" t="s">
        <v>2</v>
      </c>
      <c r="C1" s="1" t="s">
        <v>3</v>
      </c>
      <c r="D1" s="7" t="s">
        <v>79</v>
      </c>
      <c r="E1" s="7" t="s">
        <v>7</v>
      </c>
      <c r="F1" s="33" t="s">
        <v>80</v>
      </c>
      <c r="G1" s="1" t="s">
        <v>81</v>
      </c>
      <c r="H1" s="1" t="s">
        <v>10</v>
      </c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>
      <c r="A2" s="25">
        <v>43866.0</v>
      </c>
      <c r="B2" s="34">
        <v>0.16527777777777777</v>
      </c>
      <c r="C2" s="5" t="s">
        <v>82</v>
      </c>
      <c r="D2" s="12">
        <v>275000.0</v>
      </c>
      <c r="E2" s="35">
        <v>5.94</v>
      </c>
      <c r="F2" s="36">
        <v>1633500.0</v>
      </c>
      <c r="G2" s="5"/>
      <c r="H2" s="5" t="s">
        <v>83</v>
      </c>
    </row>
    <row r="3">
      <c r="A3" s="25">
        <v>43866.0</v>
      </c>
      <c r="B3" s="34">
        <v>0.16319444444444445</v>
      </c>
      <c r="C3" s="5" t="s">
        <v>31</v>
      </c>
      <c r="D3" s="12">
        <v>251562.0</v>
      </c>
      <c r="E3" s="35">
        <v>329.07</v>
      </c>
      <c r="F3" s="36">
        <v>8.27816834334E7</v>
      </c>
      <c r="G3" s="5" t="b">
        <v>1</v>
      </c>
      <c r="H3" s="5" t="s">
        <v>83</v>
      </c>
    </row>
    <row r="4">
      <c r="A4" s="25">
        <v>43866.0</v>
      </c>
      <c r="B4" s="34">
        <v>0.16319444444444445</v>
      </c>
      <c r="C4" s="5" t="s">
        <v>84</v>
      </c>
      <c r="D4" s="12">
        <v>530000.0</v>
      </c>
      <c r="E4" s="35">
        <v>88.04</v>
      </c>
      <c r="F4" s="36">
        <v>4.6659981E7</v>
      </c>
      <c r="G4" s="5"/>
      <c r="H4" s="5" t="s">
        <v>85</v>
      </c>
    </row>
    <row r="5">
      <c r="A5" s="25">
        <v>43866.0</v>
      </c>
      <c r="B5" s="34">
        <v>0.16319444444444445</v>
      </c>
      <c r="C5" s="5" t="s">
        <v>86</v>
      </c>
      <c r="D5" s="12">
        <v>250000.0</v>
      </c>
      <c r="E5" s="35">
        <v>5.17</v>
      </c>
      <c r="F5" s="36">
        <v>1292500.0</v>
      </c>
      <c r="G5" s="5"/>
      <c r="H5" s="5" t="s">
        <v>83</v>
      </c>
    </row>
    <row r="6">
      <c r="A6" s="25">
        <v>43866.0</v>
      </c>
      <c r="B6" s="34">
        <v>0.16319444444444445</v>
      </c>
      <c r="C6" s="5" t="s">
        <v>87</v>
      </c>
      <c r="D6" s="12">
        <v>9987400.0</v>
      </c>
      <c r="E6" s="35">
        <v>14.17</v>
      </c>
      <c r="F6" s="36">
        <v>1.41521458E8</v>
      </c>
      <c r="G6" s="5" t="b">
        <v>1</v>
      </c>
      <c r="H6" s="5" t="s">
        <v>83</v>
      </c>
    </row>
    <row r="7">
      <c r="A7" s="25">
        <v>43866.0</v>
      </c>
      <c r="B7" s="34">
        <v>0.16180555555555556</v>
      </c>
      <c r="C7" s="5" t="s">
        <v>88</v>
      </c>
      <c r="D7" s="12">
        <v>400000.0</v>
      </c>
      <c r="E7" s="35">
        <v>52.72</v>
      </c>
      <c r="F7" s="36">
        <v>2.1086E7</v>
      </c>
      <c r="G7" s="5"/>
      <c r="H7" s="5" t="s">
        <v>83</v>
      </c>
    </row>
    <row r="8">
      <c r="A8" s="25">
        <v>43866.0</v>
      </c>
      <c r="B8" s="34">
        <v>0.16180555555555556</v>
      </c>
      <c r="C8" s="5" t="s">
        <v>89</v>
      </c>
      <c r="D8" s="12">
        <v>940000.0</v>
      </c>
      <c r="E8" s="35">
        <v>8.17</v>
      </c>
      <c r="F8" s="36">
        <v>7679800.0</v>
      </c>
      <c r="G8" s="5"/>
      <c r="H8" s="5" t="s">
        <v>83</v>
      </c>
    </row>
    <row r="9">
      <c r="A9" s="25">
        <v>43866.0</v>
      </c>
      <c r="B9" s="34">
        <v>0.16111111111111112</v>
      </c>
      <c r="C9" s="5" t="s">
        <v>90</v>
      </c>
      <c r="D9" s="12">
        <v>361200.0</v>
      </c>
      <c r="E9" s="35">
        <v>8.31</v>
      </c>
      <c r="F9" s="36">
        <v>2999766.0</v>
      </c>
      <c r="G9" s="5"/>
      <c r="H9" s="5" t="s">
        <v>83</v>
      </c>
    </row>
    <row r="10">
      <c r="A10" s="25">
        <v>43866.0</v>
      </c>
      <c r="B10" s="34">
        <v>0.15902777777777777</v>
      </c>
      <c r="C10" s="5" t="s">
        <v>67</v>
      </c>
      <c r="D10" s="12">
        <v>500000.0</v>
      </c>
      <c r="E10" s="35">
        <v>36.9</v>
      </c>
      <c r="F10" s="36">
        <v>1.845E7</v>
      </c>
      <c r="G10" s="5"/>
      <c r="H10" s="5" t="s">
        <v>83</v>
      </c>
    </row>
    <row r="11">
      <c r="A11" s="25">
        <v>43866.0</v>
      </c>
      <c r="B11" s="34">
        <v>0.15902777777777777</v>
      </c>
      <c r="C11" s="5" t="s">
        <v>67</v>
      </c>
      <c r="D11" s="12">
        <v>250000.0</v>
      </c>
      <c r="E11" s="35">
        <v>36.9</v>
      </c>
      <c r="F11" s="36">
        <v>9225000.0</v>
      </c>
      <c r="G11" s="5"/>
      <c r="H11" s="5" t="s">
        <v>83</v>
      </c>
    </row>
    <row r="12">
      <c r="A12" s="25">
        <v>43866.0</v>
      </c>
      <c r="B12" s="34">
        <v>0.15763888888888888</v>
      </c>
      <c r="C12" s="5" t="s">
        <v>91</v>
      </c>
      <c r="D12" s="12">
        <v>950000.0</v>
      </c>
      <c r="E12" s="35">
        <v>13.6</v>
      </c>
      <c r="F12" s="36">
        <v>1.292E7</v>
      </c>
      <c r="G12" s="5"/>
      <c r="H12" s="5" t="s">
        <v>83</v>
      </c>
    </row>
    <row r="13">
      <c r="A13" s="25">
        <v>43866.0</v>
      </c>
      <c r="B13" s="34">
        <v>0.15625</v>
      </c>
      <c r="C13" s="5" t="s">
        <v>92</v>
      </c>
      <c r="D13" s="12">
        <v>401704.0</v>
      </c>
      <c r="E13" s="35">
        <v>58.39</v>
      </c>
      <c r="F13" s="36">
        <v>2.345549656E7</v>
      </c>
      <c r="G13" s="5"/>
      <c r="H13" s="5" t="s">
        <v>83</v>
      </c>
    </row>
    <row r="14">
      <c r="A14" s="25">
        <v>43866.0</v>
      </c>
      <c r="B14" s="34">
        <v>0.15625</v>
      </c>
      <c r="C14" s="5" t="s">
        <v>93</v>
      </c>
      <c r="D14" s="12">
        <v>200000.0</v>
      </c>
      <c r="E14" s="35">
        <v>6.45</v>
      </c>
      <c r="F14" s="36">
        <v>1289000.0</v>
      </c>
      <c r="G14" s="5"/>
      <c r="H14" s="5" t="s">
        <v>83</v>
      </c>
    </row>
    <row r="15">
      <c r="A15" s="25">
        <v>43866.0</v>
      </c>
      <c r="B15" s="34">
        <v>0.15416666666666667</v>
      </c>
      <c r="C15" s="5" t="s">
        <v>94</v>
      </c>
      <c r="D15" s="12">
        <v>193000.0</v>
      </c>
      <c r="E15" s="35">
        <v>15.13</v>
      </c>
      <c r="F15" s="36">
        <v>2920090.0</v>
      </c>
      <c r="G15" s="5"/>
      <c r="H15" s="5" t="s">
        <v>83</v>
      </c>
    </row>
    <row r="16">
      <c r="A16" s="25">
        <v>43866.0</v>
      </c>
      <c r="B16" s="34">
        <v>0.15347222222222223</v>
      </c>
      <c r="C16" s="5" t="s">
        <v>95</v>
      </c>
      <c r="D16" s="12">
        <v>380063.0</v>
      </c>
      <c r="E16" s="35">
        <v>52.5</v>
      </c>
      <c r="F16" s="36">
        <v>1.99533075E7</v>
      </c>
      <c r="G16" s="5"/>
      <c r="H16" s="5" t="s">
        <v>83</v>
      </c>
    </row>
    <row r="17">
      <c r="A17" s="25">
        <v>43866.0</v>
      </c>
      <c r="B17" s="34">
        <v>0.15347222222222223</v>
      </c>
      <c r="C17" s="5" t="s">
        <v>96</v>
      </c>
      <c r="D17" s="12">
        <v>250000.0</v>
      </c>
      <c r="E17" s="35">
        <v>10.77</v>
      </c>
      <c r="F17" s="36">
        <v>2692500.0</v>
      </c>
      <c r="G17" s="5"/>
      <c r="H17" s="5" t="s">
        <v>83</v>
      </c>
    </row>
    <row r="18">
      <c r="A18" s="25">
        <v>43866.0</v>
      </c>
      <c r="B18" s="34">
        <v>0.1527777777777778</v>
      </c>
      <c r="C18" s="5" t="s">
        <v>97</v>
      </c>
      <c r="D18" s="12">
        <v>253453.0</v>
      </c>
      <c r="E18" s="35">
        <v>51.0</v>
      </c>
      <c r="F18" s="36">
        <v>1.2926103E7</v>
      </c>
      <c r="G18" s="5"/>
      <c r="H18" s="5" t="s">
        <v>83</v>
      </c>
    </row>
    <row r="19">
      <c r="A19" s="25">
        <v>43866.0</v>
      </c>
      <c r="B19" s="34">
        <v>0.1527777777777778</v>
      </c>
      <c r="C19" s="5" t="s">
        <v>98</v>
      </c>
      <c r="D19" s="12">
        <v>295195.0</v>
      </c>
      <c r="E19" s="35">
        <v>23.43</v>
      </c>
      <c r="F19" s="36">
        <v>6916418.85</v>
      </c>
      <c r="G19" s="5"/>
      <c r="H19" s="5" t="s">
        <v>83</v>
      </c>
    </row>
    <row r="20">
      <c r="A20" s="25">
        <v>43866.0</v>
      </c>
      <c r="B20" s="34">
        <v>0.14930555555555555</v>
      </c>
      <c r="C20" s="5" t="s">
        <v>99</v>
      </c>
      <c r="D20" s="12">
        <v>200000.0</v>
      </c>
      <c r="E20" s="35">
        <v>11.52</v>
      </c>
      <c r="F20" s="36">
        <v>2303000.0</v>
      </c>
      <c r="G20" s="5"/>
      <c r="H20" s="5" t="s">
        <v>83</v>
      </c>
    </row>
    <row r="21">
      <c r="A21" s="25">
        <v>43866.0</v>
      </c>
      <c r="B21" s="34">
        <v>0.1486111111111111</v>
      </c>
      <c r="C21" s="5" t="s">
        <v>49</v>
      </c>
      <c r="D21" s="12">
        <v>330000.0</v>
      </c>
      <c r="E21" s="35">
        <v>228.27</v>
      </c>
      <c r="F21" s="36">
        <v>7.5328011E7</v>
      </c>
      <c r="G21" s="5" t="b">
        <v>1</v>
      </c>
      <c r="H21" s="5" t="s">
        <v>85</v>
      </c>
    </row>
    <row r="22">
      <c r="A22" s="25">
        <v>43866.0</v>
      </c>
      <c r="B22" s="34">
        <v>0.14791666666666667</v>
      </c>
      <c r="C22" s="5" t="s">
        <v>100</v>
      </c>
      <c r="D22" s="12">
        <v>302300.0</v>
      </c>
      <c r="E22" s="35">
        <v>83.94</v>
      </c>
      <c r="F22" s="36">
        <v>2.5375062E7</v>
      </c>
      <c r="G22" s="5"/>
      <c r="H22" s="5" t="s">
        <v>83</v>
      </c>
    </row>
    <row r="23">
      <c r="A23" s="25">
        <v>43866.0</v>
      </c>
      <c r="B23" s="34">
        <v>0.14791666666666667</v>
      </c>
      <c r="C23" s="5" t="s">
        <v>67</v>
      </c>
      <c r="D23" s="12">
        <v>245034.0</v>
      </c>
      <c r="E23" s="35">
        <v>36.77</v>
      </c>
      <c r="F23" s="36">
        <v>9009900.18</v>
      </c>
      <c r="G23" s="5"/>
      <c r="H23" s="5" t="s">
        <v>83</v>
      </c>
    </row>
    <row r="24">
      <c r="A24" s="25">
        <v>43866.0</v>
      </c>
      <c r="B24" s="34">
        <v>0.14791666666666667</v>
      </c>
      <c r="C24" s="5" t="s">
        <v>67</v>
      </c>
      <c r="D24" s="12">
        <v>250000.0</v>
      </c>
      <c r="E24" s="35">
        <v>36.77</v>
      </c>
      <c r="F24" s="36">
        <v>9192500.0</v>
      </c>
      <c r="G24" s="5"/>
      <c r="H24" s="5" t="s">
        <v>83</v>
      </c>
    </row>
    <row r="25">
      <c r="A25" s="25">
        <v>43866.0</v>
      </c>
      <c r="B25" s="34">
        <v>0.14583333333333334</v>
      </c>
      <c r="C25" s="5" t="s">
        <v>84</v>
      </c>
      <c r="D25" s="12">
        <v>440000.0</v>
      </c>
      <c r="E25" s="35">
        <v>87.93</v>
      </c>
      <c r="F25" s="36">
        <v>3.86892E7</v>
      </c>
      <c r="G25" s="5"/>
      <c r="H25" s="5" t="s">
        <v>85</v>
      </c>
    </row>
    <row r="26">
      <c r="A26" s="25">
        <v>43866.0</v>
      </c>
      <c r="B26" s="34">
        <v>0.1451388888888889</v>
      </c>
      <c r="C26" s="5" t="s">
        <v>101</v>
      </c>
      <c r="D26" s="12">
        <v>249600.0</v>
      </c>
      <c r="E26" s="35">
        <v>69.27</v>
      </c>
      <c r="F26" s="36">
        <v>1.7289792E7</v>
      </c>
      <c r="G26" s="5"/>
      <c r="H26" s="5" t="s">
        <v>83</v>
      </c>
    </row>
    <row r="27">
      <c r="A27" s="25">
        <v>43866.0</v>
      </c>
      <c r="B27" s="34">
        <v>0.5083333333333333</v>
      </c>
      <c r="C27" s="5" t="s">
        <v>102</v>
      </c>
      <c r="D27" s="12">
        <v>412500.0</v>
      </c>
      <c r="E27" s="35">
        <v>146.6</v>
      </c>
      <c r="F27" s="36">
        <v>6.04725E7</v>
      </c>
      <c r="G27" s="5" t="b">
        <v>1</v>
      </c>
      <c r="H27" s="5" t="s">
        <v>85</v>
      </c>
    </row>
    <row r="28">
      <c r="A28" s="25">
        <v>43866.0</v>
      </c>
      <c r="B28" s="34">
        <v>0.1451388888888889</v>
      </c>
      <c r="C28" s="5" t="s">
        <v>103</v>
      </c>
      <c r="D28" s="12">
        <v>192500.0</v>
      </c>
      <c r="E28" s="35">
        <v>132.26</v>
      </c>
      <c r="F28" s="36">
        <v>2.545999225E7</v>
      </c>
      <c r="G28" s="5"/>
      <c r="H28" s="5" t="s">
        <v>85</v>
      </c>
    </row>
    <row r="29">
      <c r="A29" s="25">
        <v>43866.0</v>
      </c>
      <c r="B29" s="34">
        <v>0.1451388888888889</v>
      </c>
      <c r="C29" s="5" t="s">
        <v>104</v>
      </c>
      <c r="D29" s="12">
        <v>424100.0</v>
      </c>
      <c r="E29" s="35">
        <v>5.05</v>
      </c>
      <c r="F29" s="36">
        <v>2139584.5</v>
      </c>
      <c r="G29" s="5"/>
      <c r="H29" s="5" t="s">
        <v>83</v>
      </c>
    </row>
    <row r="30">
      <c r="A30" s="25">
        <v>43866.0</v>
      </c>
      <c r="B30" s="34">
        <v>0.1451388888888889</v>
      </c>
      <c r="C30" s="5" t="s">
        <v>49</v>
      </c>
      <c r="D30" s="12">
        <v>256000.0</v>
      </c>
      <c r="E30" s="35">
        <v>228.5</v>
      </c>
      <c r="F30" s="36">
        <v>5.8496E7</v>
      </c>
      <c r="G30" s="5" t="b">
        <v>1</v>
      </c>
      <c r="H30" s="5" t="s">
        <v>85</v>
      </c>
    </row>
    <row r="31">
      <c r="A31" s="25">
        <v>43866.0</v>
      </c>
      <c r="B31" s="34">
        <v>0.14444444444444443</v>
      </c>
      <c r="C31" s="5" t="s">
        <v>105</v>
      </c>
      <c r="D31" s="12">
        <v>200000.0</v>
      </c>
      <c r="E31" s="35">
        <v>16.0</v>
      </c>
      <c r="F31" s="36">
        <v>3200000.0</v>
      </c>
      <c r="G31" s="5"/>
      <c r="H31" s="5" t="s">
        <v>83</v>
      </c>
    </row>
    <row r="32">
      <c r="A32" s="25">
        <v>43866.0</v>
      </c>
      <c r="B32" s="34">
        <v>0.14444444444444443</v>
      </c>
      <c r="C32" s="5" t="s">
        <v>105</v>
      </c>
      <c r="D32" s="12">
        <v>192000.0</v>
      </c>
      <c r="E32" s="35">
        <v>16.03</v>
      </c>
      <c r="F32" s="36">
        <v>3077760.0</v>
      </c>
      <c r="G32" s="5"/>
      <c r="H32" s="5" t="s">
        <v>83</v>
      </c>
    </row>
    <row r="33">
      <c r="A33" s="25">
        <v>43866.0</v>
      </c>
      <c r="B33" s="34">
        <v>0.14305555555555555</v>
      </c>
      <c r="C33" s="5" t="s">
        <v>106</v>
      </c>
      <c r="D33" s="12">
        <v>464500.0</v>
      </c>
      <c r="E33" s="35">
        <v>7.82</v>
      </c>
      <c r="F33" s="36">
        <v>3632390.0</v>
      </c>
      <c r="G33" s="5"/>
      <c r="H33" s="5" t="s">
        <v>83</v>
      </c>
    </row>
    <row r="34">
      <c r="A34" s="25">
        <v>43866.0</v>
      </c>
      <c r="B34" s="34">
        <v>0.13958333333333334</v>
      </c>
      <c r="C34" s="5" t="s">
        <v>107</v>
      </c>
      <c r="D34" s="12">
        <v>183300.0</v>
      </c>
      <c r="E34" s="35">
        <v>6.9</v>
      </c>
      <c r="F34" s="36">
        <v>1264770.0</v>
      </c>
      <c r="G34" s="5"/>
      <c r="H34" s="5" t="s">
        <v>83</v>
      </c>
    </row>
    <row r="35">
      <c r="A35" s="25">
        <v>43866.0</v>
      </c>
      <c r="B35" s="34">
        <v>0.13819444444444445</v>
      </c>
      <c r="C35" s="5" t="s">
        <v>108</v>
      </c>
      <c r="D35" s="12">
        <v>212461.0</v>
      </c>
      <c r="E35" s="35">
        <v>14.06</v>
      </c>
      <c r="F35" s="36">
        <v>2987201.66</v>
      </c>
      <c r="G35" s="5"/>
      <c r="H35" s="5" t="s">
        <v>83</v>
      </c>
    </row>
    <row r="36">
      <c r="A36" s="25">
        <v>43866.0</v>
      </c>
      <c r="B36" s="34">
        <v>0.1375</v>
      </c>
      <c r="C36" s="5" t="s">
        <v>108</v>
      </c>
      <c r="D36" s="12">
        <v>647777.0</v>
      </c>
      <c r="E36" s="35">
        <v>14.06</v>
      </c>
      <c r="F36" s="36">
        <v>9107744.62</v>
      </c>
      <c r="G36" s="5"/>
      <c r="H36" s="5" t="s">
        <v>83</v>
      </c>
    </row>
    <row r="37">
      <c r="A37" s="25">
        <v>43866.0</v>
      </c>
      <c r="B37" s="34">
        <v>0.13680555555555557</v>
      </c>
      <c r="C37" s="5" t="s">
        <v>109</v>
      </c>
      <c r="D37" s="12">
        <v>152000.0</v>
      </c>
      <c r="E37" s="35">
        <v>21.06</v>
      </c>
      <c r="F37" s="36">
        <v>3201120.0</v>
      </c>
      <c r="G37" s="5"/>
      <c r="H37" s="5" t="s">
        <v>83</v>
      </c>
    </row>
    <row r="38">
      <c r="A38" s="25">
        <v>43866.0</v>
      </c>
      <c r="B38" s="34">
        <v>0.1361111111111111</v>
      </c>
      <c r="C38" s="5" t="s">
        <v>98</v>
      </c>
      <c r="D38" s="12">
        <v>267400.0</v>
      </c>
      <c r="E38" s="35">
        <v>23.42</v>
      </c>
      <c r="F38" s="36">
        <v>6262508.0</v>
      </c>
      <c r="G38" s="5"/>
      <c r="H38" s="5" t="s">
        <v>83</v>
      </c>
    </row>
    <row r="39">
      <c r="A39" s="25">
        <v>43866.0</v>
      </c>
      <c r="B39" s="34">
        <v>0.13541666666666666</v>
      </c>
      <c r="C39" s="5" t="s">
        <v>110</v>
      </c>
      <c r="D39" s="12">
        <v>200000.0</v>
      </c>
      <c r="E39" s="35">
        <v>14.73</v>
      </c>
      <c r="F39" s="36">
        <v>2946000.0</v>
      </c>
      <c r="G39" s="5"/>
      <c r="H39" s="5" t="s">
        <v>83</v>
      </c>
    </row>
    <row r="40">
      <c r="A40" s="25">
        <v>43866.0</v>
      </c>
      <c r="B40" s="34">
        <v>0.13541666666666666</v>
      </c>
      <c r="C40" s="5" t="s">
        <v>91</v>
      </c>
      <c r="D40" s="12">
        <v>1000000.0</v>
      </c>
      <c r="E40" s="35">
        <v>13.45</v>
      </c>
      <c r="F40" s="36">
        <v>1.345E7</v>
      </c>
      <c r="G40" s="5"/>
      <c r="H40" s="5" t="s">
        <v>83</v>
      </c>
    </row>
    <row r="41">
      <c r="A41" s="25">
        <v>43866.0</v>
      </c>
      <c r="B41" s="34">
        <v>0.13194444444444445</v>
      </c>
      <c r="C41" s="5" t="s">
        <v>111</v>
      </c>
      <c r="D41" s="12">
        <v>150000.0</v>
      </c>
      <c r="E41" s="35">
        <v>39.8</v>
      </c>
      <c r="F41" s="36">
        <v>5969250.0</v>
      </c>
      <c r="G41" s="5"/>
      <c r="H41" s="5" t="s">
        <v>83</v>
      </c>
    </row>
    <row r="42">
      <c r="A42" s="25">
        <v>43866.0</v>
      </c>
      <c r="B42" s="34">
        <v>0.13194444444444445</v>
      </c>
      <c r="C42" s="5" t="s">
        <v>112</v>
      </c>
      <c r="D42" s="12">
        <v>342084.0</v>
      </c>
      <c r="E42" s="35">
        <v>68.47</v>
      </c>
      <c r="F42" s="36">
        <v>2.342249148E7</v>
      </c>
      <c r="G42" s="5"/>
      <c r="H42" s="5" t="s">
        <v>83</v>
      </c>
    </row>
    <row r="43">
      <c r="A43" s="25">
        <v>43866.0</v>
      </c>
      <c r="B43" s="34">
        <v>0.13194444444444445</v>
      </c>
      <c r="C43" s="5" t="s">
        <v>113</v>
      </c>
      <c r="D43" s="12">
        <v>256389.0</v>
      </c>
      <c r="E43" s="35">
        <v>41.44</v>
      </c>
      <c r="F43" s="36">
        <v>1.062476016E7</v>
      </c>
      <c r="G43" s="5"/>
      <c r="H43" s="5" t="s">
        <v>83</v>
      </c>
    </row>
    <row r="44">
      <c r="A44" s="25">
        <v>43866.0</v>
      </c>
      <c r="B44" s="34">
        <v>0.13125</v>
      </c>
      <c r="C44" s="5" t="s">
        <v>84</v>
      </c>
      <c r="D44" s="12">
        <v>495000.0</v>
      </c>
      <c r="E44" s="35">
        <v>87.97</v>
      </c>
      <c r="F44" s="36">
        <v>4.354515E7</v>
      </c>
      <c r="G44" s="5"/>
      <c r="H44" s="5" t="s">
        <v>85</v>
      </c>
    </row>
    <row r="45">
      <c r="A45" s="25">
        <v>43866.0</v>
      </c>
      <c r="B45" s="34">
        <v>0.13125</v>
      </c>
      <c r="C45" s="5" t="s">
        <v>31</v>
      </c>
      <c r="D45" s="12">
        <v>250000.0</v>
      </c>
      <c r="E45" s="35">
        <v>332.97</v>
      </c>
      <c r="F45" s="36">
        <v>8.324125E7</v>
      </c>
      <c r="G45" s="5" t="b">
        <v>1</v>
      </c>
      <c r="H45" s="5" t="s">
        <v>85</v>
      </c>
    </row>
    <row r="46">
      <c r="A46" s="25">
        <v>43866.0</v>
      </c>
      <c r="B46" s="34">
        <v>0.13125</v>
      </c>
      <c r="C46" s="5" t="s">
        <v>114</v>
      </c>
      <c r="D46" s="12">
        <v>167689.0</v>
      </c>
      <c r="E46" s="35">
        <v>135.9</v>
      </c>
      <c r="F46" s="36">
        <v>2.27889351E7</v>
      </c>
      <c r="G46" s="5"/>
      <c r="H46" s="5" t="s">
        <v>83</v>
      </c>
    </row>
    <row r="47">
      <c r="A47" s="25">
        <v>43866.0</v>
      </c>
      <c r="B47" s="34">
        <v>0.13055555555555556</v>
      </c>
      <c r="C47" s="5" t="s">
        <v>84</v>
      </c>
      <c r="D47" s="12">
        <v>500000.0</v>
      </c>
      <c r="E47" s="35">
        <v>87.9</v>
      </c>
      <c r="F47" s="36">
        <v>4.395E7</v>
      </c>
      <c r="G47" s="5"/>
      <c r="H47" s="5" t="s">
        <v>83</v>
      </c>
    </row>
    <row r="48">
      <c r="A48" s="25">
        <v>43866.0</v>
      </c>
      <c r="B48" s="34">
        <v>0.13055555555555556</v>
      </c>
      <c r="C48" s="5" t="s">
        <v>31</v>
      </c>
      <c r="D48" s="12">
        <v>251562.0</v>
      </c>
      <c r="E48" s="35">
        <v>329.07</v>
      </c>
      <c r="F48" s="36">
        <v>8.27816834334E7</v>
      </c>
      <c r="G48" s="5" t="b">
        <v>1</v>
      </c>
      <c r="H48" s="5" t="s">
        <v>83</v>
      </c>
    </row>
    <row r="49">
      <c r="A49" s="25">
        <v>43866.0</v>
      </c>
      <c r="B49" s="34">
        <v>0.13055555555555556</v>
      </c>
      <c r="C49" s="5" t="s">
        <v>31</v>
      </c>
      <c r="D49" s="12">
        <v>251562.0</v>
      </c>
      <c r="E49" s="35">
        <v>329.07</v>
      </c>
      <c r="F49" s="36">
        <v>8.27816834334E7</v>
      </c>
      <c r="G49" s="5" t="b">
        <v>1</v>
      </c>
      <c r="H49" s="5" t="s">
        <v>83</v>
      </c>
    </row>
    <row r="50">
      <c r="A50" s="25">
        <v>43866.0</v>
      </c>
      <c r="B50" s="34">
        <v>0.12916666666666668</v>
      </c>
      <c r="C50" s="5" t="s">
        <v>115</v>
      </c>
      <c r="D50" s="12">
        <v>246785.0</v>
      </c>
      <c r="E50" s="35">
        <v>14.26</v>
      </c>
      <c r="F50" s="36">
        <v>3519154.1</v>
      </c>
      <c r="G50" s="5"/>
      <c r="H50" s="5" t="s">
        <v>83</v>
      </c>
    </row>
    <row r="51">
      <c r="A51" s="25">
        <v>43866.0</v>
      </c>
      <c r="B51" s="34">
        <v>0.12916666666666668</v>
      </c>
      <c r="C51" s="5" t="s">
        <v>67</v>
      </c>
      <c r="D51" s="12">
        <v>240199.0</v>
      </c>
      <c r="E51" s="35">
        <v>37.2</v>
      </c>
      <c r="F51" s="36">
        <v>8935402.8</v>
      </c>
      <c r="G51" s="5"/>
      <c r="H51" s="5" t="s">
        <v>83</v>
      </c>
    </row>
    <row r="52">
      <c r="A52" s="25">
        <v>43866.0</v>
      </c>
      <c r="B52" s="34">
        <v>0.12777777777777777</v>
      </c>
      <c r="C52" s="5" t="s">
        <v>116</v>
      </c>
      <c r="D52" s="12">
        <v>279653.0</v>
      </c>
      <c r="E52" s="35">
        <v>52.99</v>
      </c>
      <c r="F52" s="36">
        <v>1.48181413028E7</v>
      </c>
      <c r="G52" s="5"/>
      <c r="H52" s="5" t="s">
        <v>83</v>
      </c>
    </row>
    <row r="53">
      <c r="A53" s="25">
        <v>43866.0</v>
      </c>
      <c r="B53" s="34">
        <v>0.12777777777777777</v>
      </c>
      <c r="C53" s="5" t="s">
        <v>117</v>
      </c>
      <c r="D53" s="12">
        <v>700000.0</v>
      </c>
      <c r="E53" s="35">
        <v>8.13</v>
      </c>
      <c r="F53" s="36">
        <v>5691000.0</v>
      </c>
      <c r="G53" s="5"/>
      <c r="H53" s="5" t="s">
        <v>83</v>
      </c>
    </row>
    <row r="54">
      <c r="A54" s="25">
        <v>43866.0</v>
      </c>
      <c r="B54" s="34">
        <v>0.12777777777777777</v>
      </c>
      <c r="C54" s="5" t="s">
        <v>67</v>
      </c>
      <c r="D54" s="12">
        <v>150000.0</v>
      </c>
      <c r="E54" s="35">
        <v>37.22</v>
      </c>
      <c r="F54" s="36">
        <v>5583000.0</v>
      </c>
      <c r="G54" s="5"/>
      <c r="H54" s="5" t="s">
        <v>83</v>
      </c>
    </row>
    <row r="55">
      <c r="A55" s="25">
        <v>43866.0</v>
      </c>
      <c r="B55" s="34">
        <v>0.12708333333333333</v>
      </c>
      <c r="C55" s="5" t="s">
        <v>118</v>
      </c>
      <c r="D55" s="12">
        <v>248200.0</v>
      </c>
      <c r="E55" s="35">
        <v>60.4</v>
      </c>
      <c r="F55" s="36">
        <v>1.499128E7</v>
      </c>
      <c r="G55" s="5"/>
      <c r="H55" s="5" t="s">
        <v>83</v>
      </c>
    </row>
    <row r="56">
      <c r="A56" s="25">
        <v>43866.0</v>
      </c>
      <c r="B56" s="34">
        <v>0.12708333333333333</v>
      </c>
      <c r="C56" s="5" t="s">
        <v>31</v>
      </c>
      <c r="D56" s="12">
        <v>251562.0</v>
      </c>
      <c r="E56" s="35">
        <v>329.07</v>
      </c>
      <c r="F56" s="36">
        <v>8.27816834334E7</v>
      </c>
      <c r="G56" s="5" t="b">
        <v>1</v>
      </c>
      <c r="H56" s="5" t="s">
        <v>83</v>
      </c>
    </row>
    <row r="57">
      <c r="A57" s="25">
        <v>43866.0</v>
      </c>
      <c r="B57" s="34">
        <v>0.12638888888888888</v>
      </c>
      <c r="C57" s="5" t="s">
        <v>31</v>
      </c>
      <c r="D57" s="12">
        <v>251562.0</v>
      </c>
      <c r="E57" s="35">
        <v>329.07</v>
      </c>
      <c r="F57" s="36">
        <v>8.27816834334E7</v>
      </c>
      <c r="G57" s="5" t="b">
        <v>1</v>
      </c>
      <c r="H57" s="5" t="s">
        <v>83</v>
      </c>
    </row>
    <row r="58">
      <c r="A58" s="25">
        <v>43866.0</v>
      </c>
      <c r="B58" s="34">
        <v>0.12638888888888888</v>
      </c>
      <c r="C58" s="5" t="s">
        <v>31</v>
      </c>
      <c r="D58" s="12">
        <v>251562.0</v>
      </c>
      <c r="E58" s="35">
        <v>329.07</v>
      </c>
      <c r="F58" s="36">
        <v>8.27816834334E7</v>
      </c>
      <c r="G58" s="5" t="b">
        <v>1</v>
      </c>
      <c r="H58" s="5" t="s">
        <v>83</v>
      </c>
    </row>
    <row r="59">
      <c r="A59" s="25">
        <v>43866.0</v>
      </c>
      <c r="B59" s="34">
        <v>0.12569444444444444</v>
      </c>
      <c r="C59" s="5" t="s">
        <v>119</v>
      </c>
      <c r="D59" s="12">
        <v>380000.0</v>
      </c>
      <c r="E59" s="35">
        <v>167.3</v>
      </c>
      <c r="F59" s="36">
        <v>6.357419E7</v>
      </c>
      <c r="G59" s="5" t="b">
        <v>1</v>
      </c>
      <c r="H59" s="5" t="s">
        <v>85</v>
      </c>
    </row>
    <row r="60">
      <c r="A60" s="25">
        <v>43866.0</v>
      </c>
      <c r="B60" s="34">
        <v>0.125</v>
      </c>
      <c r="C60" s="5" t="s">
        <v>120</v>
      </c>
      <c r="D60" s="12">
        <v>150000.0</v>
      </c>
      <c r="E60" s="35">
        <v>26.92</v>
      </c>
      <c r="F60" s="36">
        <v>4038000.0</v>
      </c>
      <c r="G60" s="5"/>
      <c r="H60" s="5" t="s">
        <v>83</v>
      </c>
    </row>
    <row r="61">
      <c r="A61" s="25">
        <v>43866.0</v>
      </c>
      <c r="B61" s="34">
        <v>0.12361111111111112</v>
      </c>
      <c r="C61" s="5" t="s">
        <v>121</v>
      </c>
      <c r="D61" s="12">
        <v>156000.0</v>
      </c>
      <c r="E61" s="35">
        <v>126.75</v>
      </c>
      <c r="F61" s="36">
        <v>1.9773E7</v>
      </c>
      <c r="G61" s="5"/>
      <c r="H61" s="5" t="s">
        <v>83</v>
      </c>
    </row>
    <row r="62">
      <c r="A62" s="25">
        <v>43866.0</v>
      </c>
      <c r="B62" s="34">
        <v>0.12013888888888889</v>
      </c>
      <c r="C62" s="5" t="s">
        <v>117</v>
      </c>
      <c r="D62" s="12">
        <v>700000.0</v>
      </c>
      <c r="E62" s="35">
        <v>8.13</v>
      </c>
      <c r="F62" s="36">
        <v>5691000.0</v>
      </c>
      <c r="G62" s="5"/>
      <c r="H62" s="5" t="s">
        <v>83</v>
      </c>
    </row>
    <row r="63">
      <c r="A63" s="25">
        <v>43866.0</v>
      </c>
      <c r="B63" s="34">
        <v>0.12361111111111112</v>
      </c>
      <c r="C63" s="5" t="s">
        <v>76</v>
      </c>
      <c r="D63" s="12">
        <v>590000.0</v>
      </c>
      <c r="E63" s="35">
        <v>67.17</v>
      </c>
      <c r="F63" s="36">
        <v>3.963148E7</v>
      </c>
      <c r="G63" s="5"/>
      <c r="H63" s="5" t="s">
        <v>85</v>
      </c>
    </row>
    <row r="64">
      <c r="A64" s="25">
        <v>43866.0</v>
      </c>
      <c r="B64" s="34">
        <v>0.12291666666666666</v>
      </c>
      <c r="C64" s="5" t="s">
        <v>122</v>
      </c>
      <c r="D64" s="12">
        <v>150000.0</v>
      </c>
      <c r="E64" s="35">
        <v>34.64</v>
      </c>
      <c r="F64" s="36">
        <v>5195250.0</v>
      </c>
      <c r="G64" s="5"/>
      <c r="H64" s="5" t="s">
        <v>83</v>
      </c>
    </row>
    <row r="65">
      <c r="A65" s="25">
        <v>43866.0</v>
      </c>
      <c r="B65" s="34">
        <v>0.12083333333333333</v>
      </c>
      <c r="C65" s="5" t="s">
        <v>123</v>
      </c>
      <c r="D65" s="12">
        <v>231000.0</v>
      </c>
      <c r="E65" s="35">
        <v>27.95</v>
      </c>
      <c r="F65" s="36">
        <v>6456450.0</v>
      </c>
      <c r="G65" s="5"/>
      <c r="H65" s="5" t="s">
        <v>83</v>
      </c>
    </row>
    <row r="66">
      <c r="A66" s="25">
        <v>43866.0</v>
      </c>
      <c r="B66" s="34">
        <v>0.12083333333333333</v>
      </c>
      <c r="C66" s="5" t="s">
        <v>96</v>
      </c>
      <c r="D66" s="12">
        <v>250000.0</v>
      </c>
      <c r="E66" s="35">
        <v>10.77</v>
      </c>
      <c r="F66" s="36">
        <v>2692500.0</v>
      </c>
      <c r="G66" s="5"/>
      <c r="H66" s="5" t="s">
        <v>83</v>
      </c>
    </row>
    <row r="67">
      <c r="A67" s="25">
        <v>43866.0</v>
      </c>
      <c r="B67" s="34">
        <v>0.12013888888888889</v>
      </c>
      <c r="C67" s="5" t="s">
        <v>117</v>
      </c>
      <c r="D67" s="12">
        <v>700000.0</v>
      </c>
      <c r="E67" s="35">
        <v>8.13</v>
      </c>
      <c r="F67" s="36">
        <v>5691000.0</v>
      </c>
      <c r="G67" s="5"/>
      <c r="H67" s="5" t="s">
        <v>83</v>
      </c>
    </row>
    <row r="68">
      <c r="A68" s="25">
        <v>43866.0</v>
      </c>
      <c r="B68" s="34">
        <v>0.11944444444444445</v>
      </c>
      <c r="C68" s="5" t="s">
        <v>124</v>
      </c>
      <c r="D68" s="12">
        <v>200000.0</v>
      </c>
      <c r="E68" s="35">
        <v>33.4</v>
      </c>
      <c r="F68" s="36">
        <v>6680000.0</v>
      </c>
      <c r="G68" s="5"/>
      <c r="H68" s="5" t="s">
        <v>83</v>
      </c>
    </row>
    <row r="69">
      <c r="A69" s="25">
        <v>43866.0</v>
      </c>
      <c r="B69" s="34">
        <v>0.11944444444444445</v>
      </c>
      <c r="C69" s="5" t="s">
        <v>55</v>
      </c>
      <c r="D69" s="12">
        <v>225000.0</v>
      </c>
      <c r="E69" s="35">
        <v>76.26</v>
      </c>
      <c r="F69" s="36">
        <v>1.71585E7</v>
      </c>
      <c r="G69" s="5"/>
      <c r="H69" s="5" t="s">
        <v>83</v>
      </c>
    </row>
    <row r="70">
      <c r="A70" s="25">
        <v>43866.0</v>
      </c>
      <c r="B70" s="34">
        <v>0.11875</v>
      </c>
      <c r="C70" s="5" t="s">
        <v>125</v>
      </c>
      <c r="D70" s="12">
        <v>432500.0</v>
      </c>
      <c r="E70" s="35">
        <v>41.19</v>
      </c>
      <c r="F70" s="36">
        <v>1.7814675E7</v>
      </c>
      <c r="G70" s="5"/>
      <c r="H70" s="5" t="s">
        <v>83</v>
      </c>
    </row>
    <row r="71">
      <c r="A71" s="25">
        <v>43866.0</v>
      </c>
      <c r="B71" s="34">
        <v>0.11597222222222223</v>
      </c>
      <c r="C71" s="5" t="s">
        <v>119</v>
      </c>
      <c r="D71" s="12">
        <v>252018.0</v>
      </c>
      <c r="E71" s="35">
        <v>164.78</v>
      </c>
      <c r="F71" s="36">
        <v>4.1528030076E7</v>
      </c>
      <c r="G71" s="5"/>
      <c r="H71" s="5" t="s">
        <v>83</v>
      </c>
    </row>
    <row r="72">
      <c r="A72" s="25">
        <v>43866.0</v>
      </c>
      <c r="B72" s="34">
        <v>0.11458333333333333</v>
      </c>
      <c r="C72" s="5" t="s">
        <v>126</v>
      </c>
      <c r="D72" s="12">
        <v>168000.0</v>
      </c>
      <c r="E72" s="35">
        <v>44.13</v>
      </c>
      <c r="F72" s="36">
        <v>7414075.2</v>
      </c>
      <c r="G72" s="5"/>
      <c r="H72" s="5" t="s">
        <v>85</v>
      </c>
    </row>
    <row r="73">
      <c r="A73" s="25">
        <v>43866.0</v>
      </c>
      <c r="B73" s="34">
        <v>0.11388888888888889</v>
      </c>
      <c r="C73" s="5" t="s">
        <v>107</v>
      </c>
      <c r="D73" s="12">
        <v>436900.0</v>
      </c>
      <c r="E73" s="35">
        <v>6.98</v>
      </c>
      <c r="F73" s="36">
        <v>3049562.0</v>
      </c>
      <c r="G73" s="5"/>
      <c r="H73" s="5" t="s">
        <v>83</v>
      </c>
    </row>
    <row r="74">
      <c r="A74" s="25">
        <v>43866.0</v>
      </c>
      <c r="B74" s="34">
        <v>0.11319444444444444</v>
      </c>
      <c r="C74" s="5" t="s">
        <v>107</v>
      </c>
      <c r="D74" s="12">
        <v>301300.0</v>
      </c>
      <c r="E74" s="35">
        <v>6.95</v>
      </c>
      <c r="F74" s="36">
        <v>2094035.0</v>
      </c>
      <c r="G74" s="5"/>
      <c r="H74" s="5" t="s">
        <v>83</v>
      </c>
    </row>
    <row r="75">
      <c r="A75" s="25">
        <v>43866.0</v>
      </c>
      <c r="B75" s="34">
        <v>0.1125</v>
      </c>
      <c r="C75" s="5" t="s">
        <v>127</v>
      </c>
      <c r="D75" s="12">
        <v>199200.0</v>
      </c>
      <c r="E75" s="35">
        <v>91.25</v>
      </c>
      <c r="F75" s="36">
        <v>1.8177E7</v>
      </c>
      <c r="G75" s="5"/>
      <c r="H75" s="5" t="s">
        <v>83</v>
      </c>
    </row>
    <row r="76">
      <c r="A76" s="25">
        <v>43866.0</v>
      </c>
      <c r="B76" s="34">
        <v>0.11180555555555556</v>
      </c>
      <c r="C76" s="5" t="s">
        <v>109</v>
      </c>
      <c r="D76" s="12">
        <v>351400.0</v>
      </c>
      <c r="E76" s="35">
        <v>20.94</v>
      </c>
      <c r="F76" s="36">
        <v>7358316.0</v>
      </c>
      <c r="G76" s="5"/>
      <c r="H76" s="5" t="s">
        <v>83</v>
      </c>
    </row>
    <row r="77">
      <c r="A77" s="25">
        <v>43866.0</v>
      </c>
      <c r="B77" s="34">
        <v>0.06319444444444444</v>
      </c>
      <c r="C77" s="5" t="s">
        <v>107</v>
      </c>
      <c r="D77" s="12">
        <v>300000.0</v>
      </c>
      <c r="E77" s="35">
        <v>6.7</v>
      </c>
      <c r="F77" s="36">
        <v>2010000.0</v>
      </c>
      <c r="G77" s="5"/>
      <c r="H77" s="5" t="s">
        <v>83</v>
      </c>
    </row>
    <row r="78">
      <c r="A78" s="25">
        <v>43866.0</v>
      </c>
      <c r="B78" s="34">
        <v>0.06319444444444444</v>
      </c>
      <c r="C78" s="5" t="s">
        <v>107</v>
      </c>
      <c r="D78" s="12">
        <v>150000.0</v>
      </c>
      <c r="E78" s="35">
        <v>6.7</v>
      </c>
      <c r="F78" s="36">
        <v>1005000.0</v>
      </c>
      <c r="G78" s="5"/>
      <c r="H78" s="5" t="s">
        <v>83</v>
      </c>
    </row>
    <row r="79">
      <c r="A79" s="25">
        <v>43866.0</v>
      </c>
      <c r="B79" s="34">
        <v>0.1111111111111111</v>
      </c>
      <c r="C79" s="5" t="s">
        <v>128</v>
      </c>
      <c r="D79" s="12">
        <v>315000.0</v>
      </c>
      <c r="E79" s="35">
        <v>7.09</v>
      </c>
      <c r="F79" s="36">
        <v>2233350.0</v>
      </c>
      <c r="G79" s="5"/>
      <c r="H79" s="5" t="s">
        <v>83</v>
      </c>
    </row>
    <row r="80">
      <c r="A80" s="25">
        <v>43866.0</v>
      </c>
      <c r="B80" s="34">
        <v>0.1111111111111111</v>
      </c>
      <c r="C80" s="5" t="s">
        <v>129</v>
      </c>
      <c r="D80" s="12">
        <v>169753.0</v>
      </c>
      <c r="E80" s="35">
        <v>7.9</v>
      </c>
      <c r="F80" s="36">
        <v>1340199.935</v>
      </c>
      <c r="G80" s="5"/>
      <c r="H80" s="5" t="s">
        <v>83</v>
      </c>
    </row>
    <row r="81">
      <c r="A81" s="25">
        <v>43866.0</v>
      </c>
      <c r="B81" s="34">
        <v>0.10972222222222222</v>
      </c>
      <c r="C81" s="5" t="s">
        <v>112</v>
      </c>
      <c r="D81" s="12">
        <v>474460.0</v>
      </c>
      <c r="E81" s="35">
        <v>68.41</v>
      </c>
      <c r="F81" s="36">
        <v>3.24578086E7</v>
      </c>
      <c r="G81" s="5"/>
      <c r="H81" s="5" t="s">
        <v>83</v>
      </c>
    </row>
    <row r="82">
      <c r="A82" s="25">
        <v>43866.0</v>
      </c>
      <c r="B82" s="34">
        <v>0.10902777777777778</v>
      </c>
      <c r="C82" s="5" t="s">
        <v>130</v>
      </c>
      <c r="D82" s="12">
        <v>441840.0</v>
      </c>
      <c r="E82" s="35">
        <v>53.92</v>
      </c>
      <c r="F82" s="36">
        <v>2.38240128E7</v>
      </c>
      <c r="G82" s="5"/>
      <c r="H82" s="5" t="s">
        <v>83</v>
      </c>
    </row>
    <row r="83">
      <c r="A83" s="25">
        <v>43866.0</v>
      </c>
      <c r="B83" s="34">
        <v>0.10833333333333334</v>
      </c>
      <c r="C83" s="5" t="s">
        <v>131</v>
      </c>
      <c r="D83" s="12">
        <v>199500.0</v>
      </c>
      <c r="E83" s="35">
        <v>16.31</v>
      </c>
      <c r="F83" s="36">
        <v>3253845.0</v>
      </c>
      <c r="G83" s="5"/>
      <c r="H83" s="5" t="s">
        <v>83</v>
      </c>
    </row>
    <row r="84">
      <c r="A84" s="25">
        <v>43866.0</v>
      </c>
      <c r="B84" s="34">
        <v>0.10833333333333334</v>
      </c>
      <c r="C84" s="5" t="s">
        <v>132</v>
      </c>
      <c r="D84" s="12">
        <v>414020.0</v>
      </c>
      <c r="E84" s="35">
        <v>113.84</v>
      </c>
      <c r="F84" s="36">
        <v>4.71320368E7</v>
      </c>
      <c r="G84" s="5"/>
      <c r="H84" s="5" t="s">
        <v>83</v>
      </c>
    </row>
    <row r="85">
      <c r="A85" s="25">
        <v>43866.0</v>
      </c>
      <c r="B85" s="34">
        <v>0.10833333333333334</v>
      </c>
      <c r="C85" s="5" t="s">
        <v>133</v>
      </c>
      <c r="D85" s="12">
        <v>250000.0</v>
      </c>
      <c r="E85" s="35">
        <v>12.23</v>
      </c>
      <c r="F85" s="36">
        <v>3057500.0</v>
      </c>
      <c r="G85" s="5"/>
      <c r="H85" s="5" t="s">
        <v>83</v>
      </c>
    </row>
    <row r="86">
      <c r="A86" s="25">
        <v>43866.0</v>
      </c>
      <c r="B86" s="34">
        <v>0.10833333333333334</v>
      </c>
      <c r="C86" s="5" t="s">
        <v>134</v>
      </c>
      <c r="D86" s="12">
        <v>197200.0</v>
      </c>
      <c r="E86" s="35">
        <v>53.49</v>
      </c>
      <c r="F86" s="36">
        <v>1.0548228E7</v>
      </c>
      <c r="G86" s="5"/>
      <c r="H86" s="5" t="s">
        <v>83</v>
      </c>
    </row>
    <row r="87">
      <c r="A87" s="25">
        <v>43866.0</v>
      </c>
      <c r="B87" s="34">
        <v>0.10625</v>
      </c>
      <c r="C87" s="5" t="s">
        <v>135</v>
      </c>
      <c r="D87" s="12">
        <v>503574.0</v>
      </c>
      <c r="E87" s="35">
        <v>112.75</v>
      </c>
      <c r="F87" s="36">
        <v>5.67779685E7</v>
      </c>
      <c r="G87" s="5" t="b">
        <v>1</v>
      </c>
      <c r="H87" s="5" t="s">
        <v>83</v>
      </c>
    </row>
    <row r="88">
      <c r="A88" s="25">
        <v>43866.0</v>
      </c>
      <c r="B88" s="34">
        <v>0.10416666666666667</v>
      </c>
      <c r="C88" s="5" t="s">
        <v>136</v>
      </c>
      <c r="D88" s="12">
        <v>247400.0</v>
      </c>
      <c r="E88" s="35">
        <v>13.95</v>
      </c>
      <c r="F88" s="36">
        <v>3451230.0</v>
      </c>
      <c r="G88" s="5"/>
      <c r="H88" s="5" t="s">
        <v>83</v>
      </c>
    </row>
    <row r="89">
      <c r="A89" s="25">
        <v>43866.0</v>
      </c>
      <c r="B89" s="34">
        <v>0.10347222222222222</v>
      </c>
      <c r="C89" s="5" t="s">
        <v>137</v>
      </c>
      <c r="D89" s="12">
        <v>280000.0</v>
      </c>
      <c r="E89" s="35">
        <v>43.9</v>
      </c>
      <c r="F89" s="36">
        <v>1.2290992E7</v>
      </c>
      <c r="G89" s="5"/>
      <c r="H89" s="5" t="s">
        <v>83</v>
      </c>
    </row>
    <row r="90">
      <c r="A90" s="25">
        <v>43866.0</v>
      </c>
      <c r="B90" s="34">
        <v>0.10138888888888889</v>
      </c>
      <c r="C90" s="5" t="s">
        <v>93</v>
      </c>
      <c r="D90" s="12">
        <v>200000.0</v>
      </c>
      <c r="E90" s="35">
        <v>6.47</v>
      </c>
      <c r="F90" s="36">
        <v>1294000.0</v>
      </c>
      <c r="G90" s="5"/>
      <c r="H90" s="5" t="s">
        <v>83</v>
      </c>
    </row>
    <row r="91">
      <c r="A91" s="25">
        <v>43866.0</v>
      </c>
      <c r="B91" s="34">
        <v>0.1</v>
      </c>
      <c r="C91" s="5" t="s">
        <v>138</v>
      </c>
      <c r="D91" s="12">
        <v>194275.0</v>
      </c>
      <c r="E91" s="35">
        <v>31.85</v>
      </c>
      <c r="F91" s="36">
        <v>6187658.75</v>
      </c>
      <c r="G91" s="5"/>
      <c r="H91" s="5" t="s">
        <v>83</v>
      </c>
    </row>
    <row r="92">
      <c r="A92" s="25">
        <v>43866.0</v>
      </c>
      <c r="B92" s="34">
        <v>0.1</v>
      </c>
      <c r="C92" s="5" t="s">
        <v>90</v>
      </c>
      <c r="D92" s="12">
        <v>155636.0</v>
      </c>
      <c r="E92" s="35">
        <v>8.31</v>
      </c>
      <c r="F92" s="36">
        <v>1293335.16</v>
      </c>
      <c r="G92" s="5"/>
      <c r="H92" s="5" t="s">
        <v>83</v>
      </c>
    </row>
    <row r="93">
      <c r="A93" s="25">
        <v>43866.0</v>
      </c>
      <c r="B93" s="34">
        <v>0.09930555555555555</v>
      </c>
      <c r="C93" s="5" t="s">
        <v>139</v>
      </c>
      <c r="D93" s="12">
        <v>230053.0</v>
      </c>
      <c r="E93" s="35">
        <v>17.2</v>
      </c>
      <c r="F93" s="36">
        <v>3956911.6</v>
      </c>
      <c r="G93" s="5"/>
      <c r="H93" s="5" t="s">
        <v>83</v>
      </c>
    </row>
    <row r="94">
      <c r="A94" s="25">
        <v>43866.0</v>
      </c>
      <c r="B94" s="34">
        <v>0.09791666666666667</v>
      </c>
      <c r="C94" s="5" t="s">
        <v>140</v>
      </c>
      <c r="D94" s="12">
        <v>261858.0</v>
      </c>
      <c r="E94" s="35">
        <v>36.68</v>
      </c>
      <c r="F94" s="36">
        <v>9604951.44</v>
      </c>
      <c r="G94" s="5"/>
      <c r="H94" s="5" t="s">
        <v>83</v>
      </c>
    </row>
    <row r="95">
      <c r="A95" s="25">
        <v>43866.0</v>
      </c>
      <c r="B95" s="34">
        <v>0.09722222222222222</v>
      </c>
      <c r="C95" s="5" t="s">
        <v>137</v>
      </c>
      <c r="D95" s="12">
        <v>260000.0</v>
      </c>
      <c r="E95" s="35">
        <v>43.91</v>
      </c>
      <c r="F95" s="36">
        <v>1.14166E7</v>
      </c>
      <c r="G95" s="5"/>
      <c r="H95" s="5" t="s">
        <v>83</v>
      </c>
    </row>
    <row r="96">
      <c r="A96" s="25">
        <v>43866.0</v>
      </c>
      <c r="B96" s="34">
        <v>0.09722222222222222</v>
      </c>
      <c r="C96" s="5" t="s">
        <v>141</v>
      </c>
      <c r="D96" s="12">
        <v>337300.0</v>
      </c>
      <c r="E96" s="35">
        <v>5.09</v>
      </c>
      <c r="F96" s="36">
        <v>1716857.0</v>
      </c>
      <c r="G96" s="5"/>
      <c r="H96" s="5" t="s">
        <v>83</v>
      </c>
    </row>
    <row r="97">
      <c r="A97" s="25">
        <v>43866.0</v>
      </c>
      <c r="B97" s="34">
        <v>0.09652777777777778</v>
      </c>
      <c r="C97" s="5" t="s">
        <v>109</v>
      </c>
      <c r="D97" s="12">
        <v>185000.0</v>
      </c>
      <c r="E97" s="35">
        <v>20.89</v>
      </c>
      <c r="F97" s="36">
        <v>3864650.0</v>
      </c>
      <c r="G97" s="5"/>
      <c r="H97" s="5" t="s">
        <v>85</v>
      </c>
    </row>
    <row r="98">
      <c r="A98" s="25">
        <v>43866.0</v>
      </c>
      <c r="B98" s="34">
        <v>0.09652777777777778</v>
      </c>
      <c r="C98" s="5" t="s">
        <v>142</v>
      </c>
      <c r="D98" s="12">
        <v>167526.0</v>
      </c>
      <c r="E98" s="35">
        <v>34.55</v>
      </c>
      <c r="F98" s="36">
        <v>5788023.3</v>
      </c>
      <c r="G98" s="5"/>
      <c r="H98" s="5" t="s">
        <v>83</v>
      </c>
    </row>
    <row r="99">
      <c r="A99" s="25">
        <v>43866.0</v>
      </c>
      <c r="B99" s="34">
        <v>0.09583333333333334</v>
      </c>
      <c r="C99" s="5" t="s">
        <v>143</v>
      </c>
      <c r="D99" s="12">
        <v>300000.0</v>
      </c>
      <c r="E99" s="35">
        <v>11.06</v>
      </c>
      <c r="F99" s="36">
        <v>3318000.0</v>
      </c>
      <c r="G99" s="5"/>
      <c r="H99" s="5" t="s">
        <v>83</v>
      </c>
    </row>
    <row r="100">
      <c r="A100" s="25">
        <v>43866.0</v>
      </c>
      <c r="B100" s="34">
        <v>0.09513888888888888</v>
      </c>
      <c r="C100" s="5" t="s">
        <v>144</v>
      </c>
      <c r="D100" s="12">
        <v>399830.0</v>
      </c>
      <c r="E100" s="35">
        <v>43.47</v>
      </c>
      <c r="F100" s="36">
        <v>1.7381449743E7</v>
      </c>
      <c r="G100" s="5"/>
      <c r="H100" s="5" t="s">
        <v>83</v>
      </c>
    </row>
    <row r="101">
      <c r="A101" s="25">
        <v>43866.0</v>
      </c>
      <c r="B101" s="34">
        <v>0.09513888888888888</v>
      </c>
      <c r="C101" s="5" t="s">
        <v>115</v>
      </c>
      <c r="D101" s="12">
        <v>150000.0</v>
      </c>
      <c r="E101" s="35">
        <v>14.22</v>
      </c>
      <c r="F101" s="36">
        <v>2132250.0</v>
      </c>
      <c r="G101" s="5"/>
      <c r="H101" s="5" t="s">
        <v>83</v>
      </c>
    </row>
    <row r="102">
      <c r="A102" s="25">
        <v>43866.0</v>
      </c>
      <c r="B102" s="34">
        <v>0.09444444444444444</v>
      </c>
      <c r="C102" s="5" t="s">
        <v>91</v>
      </c>
      <c r="D102" s="12">
        <v>250000.0</v>
      </c>
      <c r="E102" s="35">
        <v>13.3</v>
      </c>
      <c r="F102" s="36">
        <v>3325000.0</v>
      </c>
      <c r="G102" s="5"/>
      <c r="H102" s="5" t="s">
        <v>83</v>
      </c>
    </row>
    <row r="103">
      <c r="A103" s="25">
        <v>43866.0</v>
      </c>
      <c r="B103" s="34">
        <v>0.09375</v>
      </c>
      <c r="C103" s="5" t="s">
        <v>90</v>
      </c>
      <c r="D103" s="12">
        <v>181160.0</v>
      </c>
      <c r="E103" s="35">
        <v>8.31</v>
      </c>
      <c r="F103" s="36">
        <v>1505439.6</v>
      </c>
      <c r="G103" s="5"/>
      <c r="H103" s="5" t="s">
        <v>83</v>
      </c>
    </row>
    <row r="104">
      <c r="A104" s="25">
        <v>43866.0</v>
      </c>
      <c r="B104" s="34">
        <v>0.09166666666666666</v>
      </c>
      <c r="C104" s="5" t="s">
        <v>145</v>
      </c>
      <c r="D104" s="12">
        <v>233782.0</v>
      </c>
      <c r="E104" s="35">
        <v>12.8</v>
      </c>
      <c r="F104" s="36">
        <v>2992409.6</v>
      </c>
      <c r="G104" s="5"/>
      <c r="H104" s="5" t="s">
        <v>83</v>
      </c>
    </row>
    <row r="105">
      <c r="A105" s="25">
        <v>43866.0</v>
      </c>
      <c r="B105" s="34">
        <v>0.09166666666666666</v>
      </c>
      <c r="C105" s="5" t="s">
        <v>137</v>
      </c>
      <c r="D105" s="12">
        <v>250000.0</v>
      </c>
      <c r="E105" s="35">
        <v>43.91</v>
      </c>
      <c r="F105" s="36">
        <v>1.0977575E7</v>
      </c>
      <c r="G105" s="5"/>
      <c r="H105" s="5" t="s">
        <v>83</v>
      </c>
    </row>
    <row r="106">
      <c r="A106" s="25">
        <v>43866.0</v>
      </c>
      <c r="B106" s="34">
        <v>0.09027777777777778</v>
      </c>
      <c r="C106" s="5" t="s">
        <v>146</v>
      </c>
      <c r="D106" s="12">
        <v>379606.0</v>
      </c>
      <c r="E106" s="35">
        <v>43.95</v>
      </c>
      <c r="F106" s="36">
        <v>1.66836837E7</v>
      </c>
      <c r="G106" s="5"/>
      <c r="H106" s="5" t="s">
        <v>83</v>
      </c>
    </row>
    <row r="107">
      <c r="A107" s="25">
        <v>43866.0</v>
      </c>
      <c r="B107" s="34">
        <v>0.08888888888888889</v>
      </c>
      <c r="C107" s="5" t="s">
        <v>147</v>
      </c>
      <c r="D107" s="12">
        <v>195300.0</v>
      </c>
      <c r="E107" s="35">
        <v>19.63</v>
      </c>
      <c r="F107" s="36">
        <v>3832762.5</v>
      </c>
      <c r="G107" s="5"/>
      <c r="H107" s="5" t="s">
        <v>83</v>
      </c>
    </row>
    <row r="108">
      <c r="A108" s="25">
        <v>43866.0</v>
      </c>
      <c r="B108" s="34">
        <v>0.08888888888888889</v>
      </c>
      <c r="C108" s="5" t="s">
        <v>148</v>
      </c>
      <c r="D108" s="12">
        <v>779231.0</v>
      </c>
      <c r="E108" s="35">
        <v>54.71</v>
      </c>
      <c r="F108" s="36">
        <v>4.263172801E7</v>
      </c>
      <c r="G108" s="5"/>
      <c r="H108" s="5" t="s">
        <v>83</v>
      </c>
    </row>
    <row r="109">
      <c r="A109" s="25">
        <v>43866.0</v>
      </c>
      <c r="B109" s="34">
        <v>0.08472222222222223</v>
      </c>
      <c r="C109" s="5" t="s">
        <v>98</v>
      </c>
      <c r="D109" s="12">
        <v>417000.0</v>
      </c>
      <c r="E109" s="35">
        <v>23.41</v>
      </c>
      <c r="F109" s="36">
        <v>9761970.0</v>
      </c>
      <c r="G109" s="5"/>
      <c r="H109" s="5" t="s">
        <v>83</v>
      </c>
    </row>
    <row r="110">
      <c r="A110" s="25">
        <v>43866.0</v>
      </c>
      <c r="B110" s="34">
        <v>0.08472222222222223</v>
      </c>
      <c r="C110" s="5" t="s">
        <v>98</v>
      </c>
      <c r="D110" s="12">
        <v>834000.0</v>
      </c>
      <c r="E110" s="35">
        <v>23.41</v>
      </c>
      <c r="F110" s="36">
        <v>1.952394E7</v>
      </c>
      <c r="G110" s="5"/>
      <c r="H110" s="5" t="s">
        <v>83</v>
      </c>
    </row>
    <row r="111">
      <c r="A111" s="25">
        <v>43866.0</v>
      </c>
      <c r="B111" s="34">
        <v>0.08333333333333333</v>
      </c>
      <c r="C111" s="5" t="s">
        <v>149</v>
      </c>
      <c r="D111" s="12">
        <v>500000.0</v>
      </c>
      <c r="E111" s="35">
        <v>66.1</v>
      </c>
      <c r="F111" s="36">
        <v>3.305E7</v>
      </c>
      <c r="G111" s="5"/>
      <c r="H111" s="5" t="s">
        <v>83</v>
      </c>
    </row>
    <row r="112">
      <c r="A112" s="25">
        <v>43866.0</v>
      </c>
      <c r="B112" s="34">
        <v>0.08055555555555556</v>
      </c>
      <c r="C112" s="5" t="s">
        <v>98</v>
      </c>
      <c r="D112" s="12">
        <v>196500.0</v>
      </c>
      <c r="E112" s="35">
        <v>23.4</v>
      </c>
      <c r="F112" s="36">
        <v>4598100.0</v>
      </c>
      <c r="G112" s="5"/>
      <c r="H112" s="5" t="s">
        <v>83</v>
      </c>
    </row>
    <row r="113">
      <c r="A113" s="25">
        <v>43866.0</v>
      </c>
      <c r="B113" s="34">
        <v>0.07847222222222222</v>
      </c>
      <c r="C113" s="5" t="s">
        <v>98</v>
      </c>
      <c r="D113" s="12">
        <v>222400.0</v>
      </c>
      <c r="E113" s="35">
        <v>23.4</v>
      </c>
      <c r="F113" s="36">
        <v>5204160.0</v>
      </c>
      <c r="G113" s="5"/>
      <c r="H113" s="5" t="s">
        <v>83</v>
      </c>
    </row>
    <row r="114">
      <c r="A114" s="25">
        <v>43866.0</v>
      </c>
      <c r="B114" s="34">
        <v>0.07708333333333334</v>
      </c>
      <c r="C114" s="5" t="s">
        <v>31</v>
      </c>
      <c r="D114" s="12">
        <v>250000.0</v>
      </c>
      <c r="E114" s="35">
        <v>332.2</v>
      </c>
      <c r="F114" s="36">
        <v>8.304875E7</v>
      </c>
      <c r="G114" s="5" t="b">
        <v>1</v>
      </c>
      <c r="H114" s="5" t="s">
        <v>85</v>
      </c>
    </row>
    <row r="115">
      <c r="A115" s="25">
        <v>43866.0</v>
      </c>
      <c r="B115" s="34">
        <v>0.075</v>
      </c>
      <c r="C115" s="5" t="s">
        <v>150</v>
      </c>
      <c r="D115" s="12">
        <v>838873.0</v>
      </c>
      <c r="E115" s="35">
        <v>129.0</v>
      </c>
      <c r="F115" s="36">
        <v>1.08214617E8</v>
      </c>
      <c r="G115" s="5" t="b">
        <v>1</v>
      </c>
      <c r="H115" s="5" t="s">
        <v>83</v>
      </c>
    </row>
    <row r="116">
      <c r="A116" s="25">
        <v>43866.0</v>
      </c>
      <c r="B116" s="34">
        <v>0.07430555555555556</v>
      </c>
      <c r="C116" s="5" t="s">
        <v>49</v>
      </c>
      <c r="D116" s="12">
        <v>400000.0</v>
      </c>
      <c r="E116" s="35">
        <v>227.81</v>
      </c>
      <c r="F116" s="36">
        <v>9.1122E7</v>
      </c>
      <c r="G116" s="5" t="b">
        <v>1</v>
      </c>
      <c r="H116" s="5" t="s">
        <v>83</v>
      </c>
    </row>
    <row r="117">
      <c r="A117" s="25">
        <v>43866.0</v>
      </c>
      <c r="B117" s="34">
        <v>0.07361111111111111</v>
      </c>
      <c r="C117" s="5" t="s">
        <v>151</v>
      </c>
      <c r="D117" s="12">
        <v>168000.0</v>
      </c>
      <c r="E117" s="35">
        <v>15.78</v>
      </c>
      <c r="F117" s="36">
        <v>2651157.6</v>
      </c>
      <c r="G117" s="5"/>
      <c r="H117" s="5" t="s">
        <v>85</v>
      </c>
    </row>
    <row r="118">
      <c r="A118" s="25">
        <v>43866.0</v>
      </c>
      <c r="B118" s="34">
        <v>0.07222222222222222</v>
      </c>
      <c r="C118" s="5" t="s">
        <v>152</v>
      </c>
      <c r="D118" s="12">
        <v>215577.0</v>
      </c>
      <c r="E118" s="35">
        <v>63.75</v>
      </c>
      <c r="F118" s="36">
        <v>1.374303375E7</v>
      </c>
      <c r="G118" s="5"/>
      <c r="H118" s="5" t="s">
        <v>83</v>
      </c>
    </row>
    <row r="119">
      <c r="A119" s="25">
        <v>43866.0</v>
      </c>
      <c r="B119" s="34">
        <v>0.07013888888888889</v>
      </c>
      <c r="C119" s="5" t="s">
        <v>90</v>
      </c>
      <c r="D119" s="12">
        <v>286700.0</v>
      </c>
      <c r="E119" s="35">
        <v>8.32</v>
      </c>
      <c r="F119" s="36">
        <v>2383910.5</v>
      </c>
      <c r="G119" s="5"/>
      <c r="H119" s="5" t="s">
        <v>83</v>
      </c>
    </row>
    <row r="120">
      <c r="A120" s="25">
        <v>43866.0</v>
      </c>
      <c r="B120" s="34">
        <v>0.07013888888888889</v>
      </c>
      <c r="C120" s="5" t="s">
        <v>153</v>
      </c>
      <c r="D120" s="12">
        <v>323000.0</v>
      </c>
      <c r="E120" s="35">
        <v>23.56</v>
      </c>
      <c r="F120" s="36">
        <v>7609880.0</v>
      </c>
      <c r="G120" s="5"/>
      <c r="H120" s="5" t="s">
        <v>83</v>
      </c>
    </row>
    <row r="121">
      <c r="A121" s="25">
        <v>43866.0</v>
      </c>
      <c r="B121" s="34">
        <v>0.07013888888888889</v>
      </c>
      <c r="C121" s="5" t="s">
        <v>67</v>
      </c>
      <c r="D121" s="12">
        <v>150000.0</v>
      </c>
      <c r="E121" s="35">
        <v>37.4</v>
      </c>
      <c r="F121" s="36">
        <v>5609250.0</v>
      </c>
      <c r="G121" s="5"/>
      <c r="H121" s="5" t="s">
        <v>83</v>
      </c>
    </row>
    <row r="122">
      <c r="A122" s="25">
        <v>43866.0</v>
      </c>
      <c r="B122" s="34">
        <v>0.06736111111111111</v>
      </c>
      <c r="C122" s="5" t="s">
        <v>154</v>
      </c>
      <c r="D122" s="12">
        <v>250000.0</v>
      </c>
      <c r="E122" s="35">
        <v>19.15</v>
      </c>
      <c r="F122" s="36">
        <v>4787500.0</v>
      </c>
      <c r="G122" s="5"/>
      <c r="H122" s="5" t="s">
        <v>83</v>
      </c>
    </row>
    <row r="123">
      <c r="A123" s="25">
        <v>43866.0</v>
      </c>
      <c r="B123" s="34">
        <v>0.06666666666666667</v>
      </c>
      <c r="C123" s="5" t="s">
        <v>113</v>
      </c>
      <c r="D123" s="12">
        <v>297700.0</v>
      </c>
      <c r="E123" s="35">
        <v>41.37</v>
      </c>
      <c r="F123" s="36">
        <v>1.2315849E7</v>
      </c>
      <c r="G123" s="5"/>
      <c r="H123" s="5" t="s">
        <v>83</v>
      </c>
    </row>
    <row r="124">
      <c r="A124" s="25">
        <v>43866.0</v>
      </c>
      <c r="B124" s="34">
        <v>0.06666666666666667</v>
      </c>
      <c r="C124" s="5" t="s">
        <v>155</v>
      </c>
      <c r="D124" s="12">
        <v>219400.0</v>
      </c>
      <c r="E124" s="35">
        <v>17.85</v>
      </c>
      <c r="F124" s="36">
        <v>3915193.0</v>
      </c>
      <c r="G124" s="5"/>
      <c r="H124" s="5" t="s">
        <v>83</v>
      </c>
    </row>
    <row r="125">
      <c r="A125" s="25">
        <v>43866.0</v>
      </c>
      <c r="B125" s="34">
        <v>0.06666666666666667</v>
      </c>
      <c r="C125" s="5" t="s">
        <v>156</v>
      </c>
      <c r="D125" s="12">
        <v>250000.0</v>
      </c>
      <c r="E125" s="35">
        <v>44.97</v>
      </c>
      <c r="F125" s="36">
        <v>1.12425E7</v>
      </c>
      <c r="G125" s="5"/>
      <c r="H125" s="5" t="s">
        <v>83</v>
      </c>
    </row>
    <row r="126">
      <c r="A126" s="25">
        <v>43866.0</v>
      </c>
      <c r="B126" s="34">
        <v>0.06597222222222222</v>
      </c>
      <c r="C126" s="5" t="s">
        <v>157</v>
      </c>
      <c r="D126" s="12">
        <v>250000.0</v>
      </c>
      <c r="E126" s="35">
        <v>52.71</v>
      </c>
      <c r="F126" s="36">
        <v>1.317625E7</v>
      </c>
      <c r="G126" s="5"/>
      <c r="H126" s="5" t="s">
        <v>83</v>
      </c>
    </row>
    <row r="127">
      <c r="A127" s="25">
        <v>43866.0</v>
      </c>
      <c r="B127" s="34">
        <v>0.06597222222222222</v>
      </c>
      <c r="C127" s="5" t="s">
        <v>158</v>
      </c>
      <c r="D127" s="12">
        <v>200000.0</v>
      </c>
      <c r="E127" s="35">
        <v>14.98</v>
      </c>
      <c r="F127" s="36">
        <v>2995000.0</v>
      </c>
      <c r="G127" s="5"/>
      <c r="H127" s="5" t="s">
        <v>83</v>
      </c>
    </row>
    <row r="128">
      <c r="A128" s="25">
        <v>43866.0</v>
      </c>
      <c r="B128" s="34">
        <v>0.06527777777777778</v>
      </c>
      <c r="C128" s="5" t="s">
        <v>158</v>
      </c>
      <c r="D128" s="12">
        <v>250000.0</v>
      </c>
      <c r="E128" s="35">
        <v>14.98</v>
      </c>
      <c r="F128" s="36">
        <v>3743750.0</v>
      </c>
      <c r="G128" s="5"/>
      <c r="H128" s="5" t="s">
        <v>83</v>
      </c>
    </row>
    <row r="129">
      <c r="A129" s="25">
        <v>43866.0</v>
      </c>
      <c r="B129" s="34">
        <v>0.06527777777777778</v>
      </c>
      <c r="C129" s="5" t="s">
        <v>158</v>
      </c>
      <c r="D129" s="12">
        <v>484900.0</v>
      </c>
      <c r="E129" s="35">
        <v>14.98</v>
      </c>
      <c r="F129" s="36">
        <v>7261377.5</v>
      </c>
      <c r="G129" s="5"/>
      <c r="H129" s="5" t="s">
        <v>83</v>
      </c>
    </row>
    <row r="130">
      <c r="A130" s="25">
        <v>43866.0</v>
      </c>
      <c r="B130" s="34">
        <v>0.06458333333333334</v>
      </c>
      <c r="C130" s="5" t="s">
        <v>47</v>
      </c>
      <c r="D130" s="12">
        <v>364000.0</v>
      </c>
      <c r="E130" s="35">
        <v>30.89</v>
      </c>
      <c r="F130" s="36">
        <v>1.12453432E7</v>
      </c>
      <c r="G130" s="5"/>
      <c r="H130" s="5" t="s">
        <v>85</v>
      </c>
    </row>
    <row r="131">
      <c r="A131" s="25">
        <v>43866.0</v>
      </c>
      <c r="B131" s="34">
        <v>0.06458333333333334</v>
      </c>
      <c r="C131" s="5" t="s">
        <v>160</v>
      </c>
      <c r="D131" s="12">
        <v>497845.0</v>
      </c>
      <c r="E131" s="35">
        <v>17.04</v>
      </c>
      <c r="F131" s="36">
        <v>8483278.8</v>
      </c>
      <c r="G131" s="5"/>
      <c r="H131" s="5" t="s">
        <v>83</v>
      </c>
    </row>
    <row r="132">
      <c r="A132" s="25">
        <v>43866.0</v>
      </c>
      <c r="B132" s="34">
        <v>0.06458333333333334</v>
      </c>
      <c r="C132" s="5" t="s">
        <v>161</v>
      </c>
      <c r="D132" s="12">
        <v>495000.0</v>
      </c>
      <c r="E132" s="35">
        <v>65.55</v>
      </c>
      <c r="F132" s="36">
        <v>3.244725E7</v>
      </c>
      <c r="G132" s="5"/>
      <c r="H132" s="5" t="s">
        <v>83</v>
      </c>
    </row>
    <row r="133">
      <c r="A133" s="25">
        <v>43866.0</v>
      </c>
      <c r="B133" s="34">
        <v>0.06319444444444444</v>
      </c>
      <c r="C133" s="5" t="s">
        <v>107</v>
      </c>
      <c r="D133" s="12">
        <v>150000.0</v>
      </c>
      <c r="E133" s="35">
        <v>6.7</v>
      </c>
      <c r="F133" s="36">
        <v>1005000.0</v>
      </c>
      <c r="G133" s="5"/>
      <c r="H133" s="5" t="s">
        <v>83</v>
      </c>
    </row>
    <row r="134">
      <c r="A134" s="25">
        <v>43866.0</v>
      </c>
      <c r="B134" s="34">
        <v>0.06180555555555556</v>
      </c>
      <c r="C134" s="5" t="s">
        <v>156</v>
      </c>
      <c r="D134" s="12">
        <v>260000.0</v>
      </c>
      <c r="E134" s="35">
        <v>44.97</v>
      </c>
      <c r="F134" s="36">
        <v>1.16922E7</v>
      </c>
      <c r="G134" s="5"/>
      <c r="H134" s="5" t="s">
        <v>83</v>
      </c>
    </row>
    <row r="135">
      <c r="A135" s="25">
        <v>43866.0</v>
      </c>
      <c r="B135" s="34">
        <v>0.06111111111111111</v>
      </c>
      <c r="C135" s="5" t="s">
        <v>160</v>
      </c>
      <c r="D135" s="12">
        <v>164776.0</v>
      </c>
      <c r="E135" s="35">
        <v>17.12</v>
      </c>
      <c r="F135" s="36">
        <v>2820141.24</v>
      </c>
      <c r="G135" s="5"/>
      <c r="H135" s="5" t="s">
        <v>83</v>
      </c>
    </row>
    <row r="136">
      <c r="A136" s="25">
        <v>43866.0</v>
      </c>
      <c r="B136" s="34">
        <v>0.059722222222222225</v>
      </c>
      <c r="C136" s="5" t="s">
        <v>74</v>
      </c>
      <c r="D136" s="12">
        <v>153227.0</v>
      </c>
      <c r="E136" s="35">
        <v>14.53</v>
      </c>
      <c r="F136" s="36">
        <v>2226388.31</v>
      </c>
      <c r="G136" s="5"/>
      <c r="H136" s="5" t="s">
        <v>83</v>
      </c>
    </row>
    <row r="137">
      <c r="A137" s="25">
        <v>43866.0</v>
      </c>
      <c r="B137" s="34">
        <v>0.059722222222222225</v>
      </c>
      <c r="C137" s="5" t="s">
        <v>87</v>
      </c>
      <c r="D137" s="12">
        <v>248900.0</v>
      </c>
      <c r="E137" s="35">
        <v>14.2</v>
      </c>
      <c r="F137" s="36">
        <v>3533135.5</v>
      </c>
      <c r="G137" s="5"/>
      <c r="H137" s="5" t="s">
        <v>83</v>
      </c>
    </row>
    <row r="138">
      <c r="A138" s="25">
        <v>43866.0</v>
      </c>
      <c r="B138" s="34">
        <v>0.059027777777777776</v>
      </c>
      <c r="C138" s="5" t="s">
        <v>163</v>
      </c>
      <c r="D138" s="12">
        <v>506421.0</v>
      </c>
      <c r="E138" s="35">
        <v>41.74</v>
      </c>
      <c r="F138" s="36">
        <v>2.113801254E7</v>
      </c>
      <c r="G138" s="5"/>
      <c r="H138" s="5" t="s">
        <v>83</v>
      </c>
    </row>
    <row r="139">
      <c r="A139" s="25">
        <v>43866.0</v>
      </c>
      <c r="B139" s="34">
        <v>0.059027777777777776</v>
      </c>
      <c r="C139" s="5" t="s">
        <v>164</v>
      </c>
      <c r="D139" s="12">
        <v>250000.0</v>
      </c>
      <c r="E139" s="35">
        <v>26.77</v>
      </c>
      <c r="F139" s="36">
        <v>6692500.0</v>
      </c>
      <c r="G139" s="5"/>
      <c r="H139" s="5" t="s">
        <v>83</v>
      </c>
    </row>
    <row r="140">
      <c r="A140" s="25">
        <v>43866.0</v>
      </c>
      <c r="B140" s="34">
        <v>0.059027777777777776</v>
      </c>
      <c r="C140" s="5" t="s">
        <v>164</v>
      </c>
      <c r="D140" s="12">
        <v>325000.0</v>
      </c>
      <c r="E140" s="35">
        <v>26.78</v>
      </c>
      <c r="F140" s="36">
        <v>8703500.0</v>
      </c>
      <c r="G140" s="5"/>
      <c r="H140" s="5" t="s">
        <v>83</v>
      </c>
    </row>
    <row r="141">
      <c r="A141" s="25">
        <v>43866.0</v>
      </c>
      <c r="B141" s="34">
        <v>0.05555555555555555</v>
      </c>
      <c r="C141" s="5" t="s">
        <v>165</v>
      </c>
      <c r="D141" s="12">
        <v>320000.0</v>
      </c>
      <c r="E141" s="35">
        <v>48.22</v>
      </c>
      <c r="F141" s="36">
        <v>1.54304E7</v>
      </c>
      <c r="G141" s="5"/>
      <c r="H141" s="5" t="s">
        <v>85</v>
      </c>
    </row>
    <row r="142">
      <c r="A142" s="25">
        <v>43866.0</v>
      </c>
      <c r="B142" s="34">
        <v>0.05555555555555555</v>
      </c>
      <c r="C142" s="5" t="s">
        <v>31</v>
      </c>
      <c r="D142" s="12">
        <v>251562.0</v>
      </c>
      <c r="E142" s="35">
        <v>329.07</v>
      </c>
      <c r="F142" s="36">
        <v>8.27816834334E7</v>
      </c>
      <c r="G142" s="5" t="b">
        <v>1</v>
      </c>
      <c r="H142" s="5" t="s">
        <v>83</v>
      </c>
    </row>
    <row r="143">
      <c r="A143" s="25">
        <v>43866.0</v>
      </c>
      <c r="B143" s="34">
        <v>0.05555555555555555</v>
      </c>
      <c r="C143" s="5" t="s">
        <v>167</v>
      </c>
      <c r="D143" s="12">
        <v>523044.0</v>
      </c>
      <c r="E143" s="35">
        <v>33.54</v>
      </c>
      <c r="F143" s="36">
        <v>1.754289576E7</v>
      </c>
      <c r="G143" s="5"/>
      <c r="H143" s="5" t="s">
        <v>83</v>
      </c>
    </row>
    <row r="144">
      <c r="A144" s="25">
        <v>43866.0</v>
      </c>
      <c r="B144" s="34">
        <v>0.05555555555555555</v>
      </c>
      <c r="C144" s="5" t="s">
        <v>168</v>
      </c>
      <c r="D144" s="12">
        <v>255225.0</v>
      </c>
      <c r="E144" s="35">
        <v>65.14</v>
      </c>
      <c r="F144" s="36">
        <v>1.66253565E7</v>
      </c>
      <c r="G144" s="5"/>
      <c r="H144" s="5" t="s">
        <v>83</v>
      </c>
    </row>
    <row r="145">
      <c r="A145" s="25">
        <v>43866.0</v>
      </c>
      <c r="B145" s="34">
        <v>0.05416666666666667</v>
      </c>
      <c r="C145" s="5" t="s">
        <v>131</v>
      </c>
      <c r="D145" s="12">
        <v>200000.0</v>
      </c>
      <c r="E145" s="35">
        <v>16.43</v>
      </c>
      <c r="F145" s="36">
        <v>3286000.0</v>
      </c>
      <c r="G145" s="5"/>
      <c r="H145" s="5" t="s">
        <v>83</v>
      </c>
    </row>
    <row r="146">
      <c r="A146" s="25">
        <v>43866.0</v>
      </c>
      <c r="B146" s="34">
        <v>0.05347222222222222</v>
      </c>
      <c r="C146" s="5" t="s">
        <v>169</v>
      </c>
      <c r="D146" s="12">
        <v>259300.0</v>
      </c>
      <c r="E146" s="35">
        <v>27.75</v>
      </c>
      <c r="F146" s="36">
        <v>7195575.0</v>
      </c>
      <c r="G146" s="5"/>
      <c r="H146" s="5" t="s">
        <v>83</v>
      </c>
    </row>
    <row r="147">
      <c r="A147" s="25">
        <v>43866.0</v>
      </c>
      <c r="B147" s="34">
        <v>0.05277777777777778</v>
      </c>
      <c r="C147" s="5" t="s">
        <v>170</v>
      </c>
      <c r="D147" s="12">
        <v>150000.0</v>
      </c>
      <c r="E147" s="35">
        <v>139.18</v>
      </c>
      <c r="F147" s="36">
        <v>2.0877E7</v>
      </c>
      <c r="G147" s="5"/>
      <c r="H147" s="5" t="s">
        <v>83</v>
      </c>
    </row>
    <row r="148">
      <c r="A148" s="25">
        <v>43866.0</v>
      </c>
      <c r="B148" s="34">
        <v>0.052083333333333336</v>
      </c>
      <c r="C148" s="5" t="s">
        <v>171</v>
      </c>
      <c r="D148" s="12">
        <v>396000.0</v>
      </c>
      <c r="E148" s="35">
        <v>69.31</v>
      </c>
      <c r="F148" s="36">
        <v>2.74454532E7</v>
      </c>
      <c r="G148" s="5"/>
      <c r="H148" s="5" t="s">
        <v>85</v>
      </c>
    </row>
    <row r="149">
      <c r="A149" s="25">
        <v>43866.0</v>
      </c>
      <c r="B149" s="34">
        <v>0.052083333333333336</v>
      </c>
      <c r="C149" s="5" t="s">
        <v>169</v>
      </c>
      <c r="D149" s="12">
        <v>216100.0</v>
      </c>
      <c r="E149" s="35">
        <v>28.0</v>
      </c>
      <c r="F149" s="36">
        <v>6050800.0</v>
      </c>
      <c r="G149" s="5"/>
      <c r="H149" s="5" t="s">
        <v>83</v>
      </c>
    </row>
    <row r="150">
      <c r="A150" s="25">
        <v>43866.0</v>
      </c>
      <c r="B150" s="34">
        <v>0.052083333333333336</v>
      </c>
      <c r="C150" s="5" t="s">
        <v>172</v>
      </c>
      <c r="D150" s="12">
        <v>300073.0</v>
      </c>
      <c r="E150" s="35">
        <v>330.55</v>
      </c>
      <c r="F150" s="36">
        <v>9.91887100478E7</v>
      </c>
      <c r="G150" s="5" t="b">
        <v>1</v>
      </c>
      <c r="H150" s="5" t="s">
        <v>83</v>
      </c>
    </row>
    <row r="151">
      <c r="A151" s="25">
        <v>43866.0</v>
      </c>
      <c r="B151" s="34">
        <v>0.05138888888888889</v>
      </c>
      <c r="C151" s="5" t="s">
        <v>90</v>
      </c>
      <c r="D151" s="12">
        <v>171100.0</v>
      </c>
      <c r="E151" s="35">
        <v>8.32</v>
      </c>
      <c r="F151" s="36">
        <v>1423124.25</v>
      </c>
      <c r="G151" s="5"/>
      <c r="H151" s="5" t="s">
        <v>83</v>
      </c>
    </row>
    <row r="152">
      <c r="A152" s="25">
        <v>43866.0</v>
      </c>
      <c r="B152" s="34">
        <v>0.050694444444444445</v>
      </c>
      <c r="C152" s="5" t="s">
        <v>156</v>
      </c>
      <c r="D152" s="12">
        <v>373750.0</v>
      </c>
      <c r="E152" s="35">
        <v>44.9</v>
      </c>
      <c r="F152" s="36">
        <v>1.6781375E7</v>
      </c>
      <c r="G152" s="5"/>
      <c r="H152" s="5" t="s">
        <v>83</v>
      </c>
    </row>
    <row r="153">
      <c r="A153" s="25">
        <v>43866.0</v>
      </c>
      <c r="B153" s="34">
        <v>0.04652777777777778</v>
      </c>
      <c r="C153" s="5" t="s">
        <v>131</v>
      </c>
      <c r="D153" s="12">
        <v>1000000.0</v>
      </c>
      <c r="E153" s="35">
        <v>16.7</v>
      </c>
      <c r="F153" s="36">
        <v>1.67E7</v>
      </c>
      <c r="G153" s="5"/>
      <c r="H153" s="5" t="s">
        <v>83</v>
      </c>
    </row>
    <row r="154">
      <c r="A154" s="25">
        <v>43866.0</v>
      </c>
      <c r="B154" s="34">
        <v>0.04583333333333333</v>
      </c>
      <c r="C154" s="5" t="s">
        <v>90</v>
      </c>
      <c r="D154" s="12">
        <v>200000.0</v>
      </c>
      <c r="E154" s="35">
        <v>8.32</v>
      </c>
      <c r="F154" s="36">
        <v>1663000.0</v>
      </c>
      <c r="G154" s="5"/>
      <c r="H154" s="5" t="s">
        <v>83</v>
      </c>
    </row>
    <row r="155">
      <c r="A155" s="25">
        <v>43866.0</v>
      </c>
      <c r="B155" s="34">
        <v>0.04375</v>
      </c>
      <c r="C155" s="5" t="s">
        <v>31</v>
      </c>
      <c r="D155" s="12">
        <v>251562.0</v>
      </c>
      <c r="E155" s="35">
        <v>329.07</v>
      </c>
      <c r="F155" s="36">
        <v>8.27816834334E7</v>
      </c>
      <c r="G155" s="5" t="b">
        <v>1</v>
      </c>
      <c r="H155" s="5" t="s">
        <v>83</v>
      </c>
    </row>
    <row r="156">
      <c r="A156" s="25">
        <v>43866.0</v>
      </c>
      <c r="B156" s="34">
        <v>0.04375</v>
      </c>
      <c r="C156" s="5" t="s">
        <v>31</v>
      </c>
      <c r="D156" s="12">
        <v>251562.0</v>
      </c>
      <c r="E156" s="35">
        <v>329.07</v>
      </c>
      <c r="F156" s="36">
        <v>8.27816834334E7</v>
      </c>
      <c r="G156" s="5" t="b">
        <v>1</v>
      </c>
      <c r="H156" s="5" t="s">
        <v>83</v>
      </c>
    </row>
    <row r="157">
      <c r="A157" s="25">
        <v>43866.0</v>
      </c>
      <c r="B157" s="34">
        <v>0.043055555555555555</v>
      </c>
      <c r="C157" s="5" t="s">
        <v>90</v>
      </c>
      <c r="D157" s="12">
        <v>1400000.0</v>
      </c>
      <c r="E157" s="35">
        <v>8.32</v>
      </c>
      <c r="F157" s="36">
        <v>1.1641E7</v>
      </c>
      <c r="G157" s="5"/>
      <c r="H157" s="5" t="s">
        <v>83</v>
      </c>
    </row>
    <row r="158">
      <c r="A158" s="25">
        <v>43866.0</v>
      </c>
      <c r="B158" s="34">
        <v>0.5409722222222222</v>
      </c>
      <c r="C158" s="5" t="s">
        <v>115</v>
      </c>
      <c r="D158" s="12">
        <v>150000.0</v>
      </c>
      <c r="E158" s="35">
        <v>14.25</v>
      </c>
      <c r="F158" s="36">
        <v>2136750.0</v>
      </c>
      <c r="G158" s="5"/>
      <c r="H158" s="5" t="s">
        <v>83</v>
      </c>
    </row>
    <row r="159">
      <c r="A159" s="25">
        <v>43866.0</v>
      </c>
      <c r="B159" s="34">
        <v>0.5402777777777777</v>
      </c>
      <c r="C159" s="5" t="s">
        <v>139</v>
      </c>
      <c r="D159" s="12">
        <v>250000.0</v>
      </c>
      <c r="E159" s="35">
        <v>17.2</v>
      </c>
      <c r="F159" s="36">
        <v>4300000.0</v>
      </c>
      <c r="G159" s="5"/>
      <c r="H159" s="5" t="s">
        <v>83</v>
      </c>
    </row>
    <row r="160">
      <c r="A160" s="25">
        <v>43866.0</v>
      </c>
      <c r="B160" s="34">
        <v>0.5402777777777777</v>
      </c>
      <c r="C160" s="5" t="s">
        <v>175</v>
      </c>
      <c r="D160" s="12">
        <v>250000.0</v>
      </c>
      <c r="E160" s="35">
        <v>130.21</v>
      </c>
      <c r="F160" s="36">
        <v>3.25525E7</v>
      </c>
      <c r="G160" s="5"/>
      <c r="H160" s="5" t="s">
        <v>83</v>
      </c>
    </row>
    <row r="161">
      <c r="A161" s="25">
        <v>43866.0</v>
      </c>
      <c r="B161" s="34">
        <v>0.5402777777777777</v>
      </c>
      <c r="C161" s="5" t="s">
        <v>175</v>
      </c>
      <c r="D161" s="12">
        <v>250000.0</v>
      </c>
      <c r="E161" s="35">
        <v>130.21</v>
      </c>
      <c r="F161" s="36">
        <v>3.25525E7</v>
      </c>
      <c r="G161" s="5"/>
      <c r="H161" s="5" t="s">
        <v>83</v>
      </c>
    </row>
    <row r="162">
      <c r="A162" s="25">
        <v>43866.0</v>
      </c>
      <c r="B162" s="34">
        <v>0.5388888888888889</v>
      </c>
      <c r="C162" s="5" t="s">
        <v>106</v>
      </c>
      <c r="D162" s="12">
        <v>477200.0</v>
      </c>
      <c r="E162" s="35">
        <v>7.86</v>
      </c>
      <c r="F162" s="36">
        <v>3750792.0</v>
      </c>
      <c r="G162" s="5"/>
      <c r="H162" s="5" t="s">
        <v>83</v>
      </c>
    </row>
    <row r="163">
      <c r="A163" s="25">
        <v>43866.0</v>
      </c>
      <c r="B163" s="34">
        <v>0.5347222222222222</v>
      </c>
      <c r="C163" s="5" t="s">
        <v>158</v>
      </c>
      <c r="D163" s="12">
        <v>500000.0</v>
      </c>
      <c r="E163" s="35">
        <v>14.99</v>
      </c>
      <c r="F163" s="36">
        <v>7492500.0</v>
      </c>
      <c r="G163" s="5"/>
      <c r="H163" s="5" t="s">
        <v>83</v>
      </c>
    </row>
    <row r="164">
      <c r="A164" s="25">
        <v>43866.0</v>
      </c>
      <c r="B164" s="34">
        <v>0.5340277777777778</v>
      </c>
      <c r="C164" s="5" t="s">
        <v>158</v>
      </c>
      <c r="D164" s="12">
        <v>181700.0</v>
      </c>
      <c r="E164" s="35">
        <v>15.0</v>
      </c>
      <c r="F164" s="36">
        <v>2724591.5</v>
      </c>
      <c r="G164" s="5"/>
      <c r="H164" s="5" t="s">
        <v>83</v>
      </c>
    </row>
    <row r="165">
      <c r="A165" s="25">
        <v>43866.0</v>
      </c>
      <c r="B165" s="34">
        <v>0.5333333333333333</v>
      </c>
      <c r="C165" s="5" t="s">
        <v>176</v>
      </c>
      <c r="D165" s="12">
        <v>167500.0</v>
      </c>
      <c r="E165" s="35">
        <v>9.46</v>
      </c>
      <c r="F165" s="36">
        <v>1584550.0</v>
      </c>
      <c r="G165" s="5"/>
      <c r="H165" s="5" t="s">
        <v>83</v>
      </c>
    </row>
    <row r="166">
      <c r="A166" s="25">
        <v>43866.0</v>
      </c>
      <c r="B166" s="34">
        <v>0.5319444444444444</v>
      </c>
      <c r="C166" s="5" t="s">
        <v>131</v>
      </c>
      <c r="D166" s="12">
        <v>190335.0</v>
      </c>
      <c r="E166" s="35">
        <v>16.82</v>
      </c>
      <c r="F166" s="36">
        <v>3201434.7</v>
      </c>
      <c r="G166" s="5"/>
      <c r="H166" s="5" t="s">
        <v>83</v>
      </c>
    </row>
    <row r="167">
      <c r="A167" s="25">
        <v>43866.0</v>
      </c>
      <c r="B167" s="34">
        <v>0.53125</v>
      </c>
      <c r="C167" s="5" t="s">
        <v>178</v>
      </c>
      <c r="D167" s="12">
        <v>214500.0</v>
      </c>
      <c r="E167" s="35">
        <v>24.12</v>
      </c>
      <c r="F167" s="36">
        <v>5173740.0</v>
      </c>
      <c r="G167" s="5"/>
      <c r="H167" s="5" t="s">
        <v>83</v>
      </c>
    </row>
    <row r="168">
      <c r="A168" s="25">
        <v>43866.0</v>
      </c>
      <c r="B168" s="34">
        <v>0.5305555555555556</v>
      </c>
      <c r="C168" s="5" t="s">
        <v>175</v>
      </c>
      <c r="D168" s="12">
        <v>300000.0</v>
      </c>
      <c r="E168" s="35">
        <v>130.17</v>
      </c>
      <c r="F168" s="36">
        <v>3.9051E7</v>
      </c>
      <c r="G168" s="5"/>
      <c r="H168" s="5" t="s">
        <v>83</v>
      </c>
    </row>
    <row r="169">
      <c r="A169" s="25">
        <v>43866.0</v>
      </c>
      <c r="B169" s="34">
        <v>0.5305555555555556</v>
      </c>
      <c r="C169" s="5" t="s">
        <v>179</v>
      </c>
      <c r="D169" s="12">
        <v>350000.0</v>
      </c>
      <c r="E169" s="35">
        <v>13.12</v>
      </c>
      <c r="F169" s="36">
        <v>4592000.0</v>
      </c>
      <c r="G169" s="5"/>
      <c r="H169" s="5" t="s">
        <v>83</v>
      </c>
    </row>
    <row r="170">
      <c r="A170" s="25">
        <v>43866.0</v>
      </c>
      <c r="B170" s="34">
        <v>0.5277777777777778</v>
      </c>
      <c r="C170" s="5" t="s">
        <v>31</v>
      </c>
      <c r="D170" s="12">
        <v>300000.0</v>
      </c>
      <c r="E170" s="35">
        <v>332.03</v>
      </c>
      <c r="F170" s="36">
        <v>9.960999E7</v>
      </c>
      <c r="G170" s="5" t="b">
        <v>1</v>
      </c>
      <c r="H170" s="5" t="s">
        <v>85</v>
      </c>
    </row>
    <row r="171">
      <c r="A171" s="25">
        <v>43866.0</v>
      </c>
      <c r="B171" s="34">
        <v>0.525</v>
      </c>
      <c r="C171" s="5" t="s">
        <v>67</v>
      </c>
      <c r="D171" s="12">
        <v>500000.0</v>
      </c>
      <c r="E171" s="35">
        <v>37.5</v>
      </c>
      <c r="F171" s="36">
        <v>1.875E7</v>
      </c>
      <c r="G171" s="5"/>
      <c r="H171" s="5" t="s">
        <v>83</v>
      </c>
    </row>
    <row r="172">
      <c r="A172" s="25">
        <v>43866.0</v>
      </c>
      <c r="B172" s="34">
        <v>0.5243055555555556</v>
      </c>
      <c r="C172" s="5" t="s">
        <v>133</v>
      </c>
      <c r="D172" s="12">
        <v>235000.0</v>
      </c>
      <c r="E172" s="35">
        <v>12.11</v>
      </c>
      <c r="F172" s="36">
        <v>2844792.5</v>
      </c>
      <c r="G172" s="5"/>
      <c r="H172" s="5" t="s">
        <v>85</v>
      </c>
    </row>
    <row r="173">
      <c r="A173" s="25">
        <v>43866.0</v>
      </c>
      <c r="B173" s="34">
        <v>0.5236111111111111</v>
      </c>
      <c r="C173" s="5" t="s">
        <v>63</v>
      </c>
      <c r="D173" s="12">
        <v>205000.0</v>
      </c>
      <c r="E173" s="35">
        <v>37.57</v>
      </c>
      <c r="F173" s="36">
        <v>7701850.0</v>
      </c>
      <c r="G173" s="5"/>
      <c r="H173" s="5" t="s">
        <v>83</v>
      </c>
    </row>
    <row r="174">
      <c r="A174" s="25">
        <v>43866.0</v>
      </c>
      <c r="B174" s="34">
        <v>0.5201388888888889</v>
      </c>
      <c r="C174" s="5" t="s">
        <v>31</v>
      </c>
      <c r="D174" s="12">
        <v>776790.0</v>
      </c>
      <c r="E174" s="35">
        <v>329.06</v>
      </c>
      <c r="F174" s="36">
        <v>2.5561362456E8</v>
      </c>
      <c r="G174" s="5" t="b">
        <v>1</v>
      </c>
      <c r="H174" s="5" t="s">
        <v>83</v>
      </c>
    </row>
    <row r="175">
      <c r="A175" s="25">
        <v>43866.0</v>
      </c>
      <c r="B175" s="34">
        <v>0.5201388888888889</v>
      </c>
      <c r="C175" s="5" t="s">
        <v>90</v>
      </c>
      <c r="D175" s="12">
        <v>158000.0</v>
      </c>
      <c r="E175" s="35">
        <v>8.29</v>
      </c>
      <c r="F175" s="36">
        <v>1309804.2</v>
      </c>
      <c r="G175" s="5"/>
      <c r="H175" s="5" t="s">
        <v>83</v>
      </c>
    </row>
    <row r="176">
      <c r="A176" s="25">
        <v>43866.0</v>
      </c>
      <c r="B176" s="34">
        <v>0.51875</v>
      </c>
      <c r="C176" s="5" t="s">
        <v>181</v>
      </c>
      <c r="D176" s="12">
        <v>200000.0</v>
      </c>
      <c r="E176" s="35">
        <v>12.63</v>
      </c>
      <c r="F176" s="36">
        <v>2526000.0</v>
      </c>
      <c r="G176" s="5"/>
      <c r="H176" s="5" t="s">
        <v>85</v>
      </c>
    </row>
    <row r="177">
      <c r="A177" s="25">
        <v>43866.0</v>
      </c>
      <c r="B177" s="34">
        <v>0.5173611111111112</v>
      </c>
      <c r="C177" s="5" t="s">
        <v>139</v>
      </c>
      <c r="D177" s="12">
        <v>150000.0</v>
      </c>
      <c r="E177" s="35">
        <v>17.2</v>
      </c>
      <c r="F177" s="36">
        <v>2580000.0</v>
      </c>
      <c r="G177" s="5"/>
      <c r="H177" s="5" t="s">
        <v>83</v>
      </c>
    </row>
    <row r="178">
      <c r="A178" s="25">
        <v>43866.0</v>
      </c>
      <c r="B178" s="34">
        <v>0.5166666666666667</v>
      </c>
      <c r="C178" s="5" t="s">
        <v>184</v>
      </c>
      <c r="D178" s="12">
        <v>221600.0</v>
      </c>
      <c r="E178" s="35">
        <v>78.96</v>
      </c>
      <c r="F178" s="36">
        <v>1.7496428E7</v>
      </c>
      <c r="G178" s="5"/>
      <c r="H178" s="5" t="s">
        <v>83</v>
      </c>
    </row>
    <row r="179">
      <c r="A179" s="25">
        <v>43866.0</v>
      </c>
      <c r="B179" s="34">
        <v>0.5166666666666667</v>
      </c>
      <c r="C179" s="5" t="s">
        <v>135</v>
      </c>
      <c r="D179" s="12">
        <v>3900053.0</v>
      </c>
      <c r="E179" s="35">
        <v>112.71</v>
      </c>
      <c r="F179" s="36">
        <v>4.3957497363E8</v>
      </c>
      <c r="G179" s="5" t="b">
        <v>1</v>
      </c>
      <c r="H179" s="5" t="s">
        <v>83</v>
      </c>
    </row>
    <row r="180">
      <c r="A180" s="25">
        <v>43866.0</v>
      </c>
      <c r="B180" s="34">
        <v>0.5166666666666667</v>
      </c>
      <c r="C180" s="5" t="s">
        <v>115</v>
      </c>
      <c r="D180" s="12">
        <v>150000.0</v>
      </c>
      <c r="E180" s="35">
        <v>14.25</v>
      </c>
      <c r="F180" s="36">
        <v>2136750.0</v>
      </c>
      <c r="G180" s="5"/>
      <c r="H180" s="5" t="s">
        <v>83</v>
      </c>
    </row>
    <row r="181">
      <c r="A181" s="25">
        <v>43866.0</v>
      </c>
      <c r="B181" s="34">
        <v>0.5138888888888888</v>
      </c>
      <c r="C181" s="5" t="s">
        <v>185</v>
      </c>
      <c r="D181" s="12">
        <v>3251307.0</v>
      </c>
      <c r="E181" s="35">
        <v>7.89</v>
      </c>
      <c r="F181" s="36">
        <v>2.565281223E7</v>
      </c>
      <c r="G181" s="5"/>
      <c r="H181" s="5" t="s">
        <v>83</v>
      </c>
    </row>
    <row r="182">
      <c r="A182" s="25">
        <v>43866.0</v>
      </c>
      <c r="B182" s="34">
        <v>0.5111111111111111</v>
      </c>
      <c r="C182" s="5" t="s">
        <v>186</v>
      </c>
      <c r="D182" s="12">
        <v>325000.0</v>
      </c>
      <c r="E182" s="35">
        <v>25.5</v>
      </c>
      <c r="F182" s="36">
        <v>8287500.0</v>
      </c>
      <c r="G182" s="5"/>
      <c r="H182" s="5" t="s">
        <v>83</v>
      </c>
    </row>
    <row r="183">
      <c r="A183" s="25">
        <v>43866.0</v>
      </c>
      <c r="B183" s="34">
        <v>0.5097222222222222</v>
      </c>
      <c r="C183" s="5" t="s">
        <v>187</v>
      </c>
      <c r="D183" s="12">
        <v>171000.0</v>
      </c>
      <c r="E183" s="35">
        <v>13.75</v>
      </c>
      <c r="F183" s="36">
        <v>2351250.0</v>
      </c>
      <c r="G183" s="5"/>
      <c r="H183" s="5" t="s">
        <v>83</v>
      </c>
    </row>
    <row r="184">
      <c r="A184" s="25">
        <v>43866.0</v>
      </c>
      <c r="B184" s="34">
        <v>0.5083333333333333</v>
      </c>
      <c r="C184" s="5" t="s">
        <v>188</v>
      </c>
      <c r="D184" s="12">
        <v>200000.0</v>
      </c>
      <c r="E184" s="35">
        <v>45.2</v>
      </c>
      <c r="F184" s="36">
        <v>9040000.0</v>
      </c>
      <c r="G184" s="5"/>
      <c r="H184" s="5" t="s">
        <v>83</v>
      </c>
    </row>
    <row r="185">
      <c r="A185" s="25">
        <v>43866.0</v>
      </c>
      <c r="B185" s="34">
        <v>0.5083333333333333</v>
      </c>
      <c r="C185" s="5" t="s">
        <v>145</v>
      </c>
      <c r="D185" s="12">
        <v>250000.0</v>
      </c>
      <c r="E185" s="35">
        <v>12.72</v>
      </c>
      <c r="F185" s="36">
        <v>3180000.0</v>
      </c>
      <c r="G185" s="5"/>
      <c r="H185" s="5" t="s">
        <v>83</v>
      </c>
    </row>
    <row r="186">
      <c r="A186" s="25">
        <v>43866.0</v>
      </c>
      <c r="B186" s="34">
        <v>0.5076388888888889</v>
      </c>
      <c r="C186" s="5" t="s">
        <v>188</v>
      </c>
      <c r="D186" s="12">
        <v>295000.0</v>
      </c>
      <c r="E186" s="35">
        <v>45.2</v>
      </c>
      <c r="F186" s="36">
        <v>1.3334E7</v>
      </c>
      <c r="G186" s="5"/>
      <c r="H186" s="5" t="s">
        <v>83</v>
      </c>
    </row>
    <row r="187">
      <c r="A187" s="25">
        <v>43866.0</v>
      </c>
      <c r="B187" s="34">
        <v>0.5076388888888889</v>
      </c>
      <c r="C187" s="5" t="s">
        <v>160</v>
      </c>
      <c r="D187" s="12">
        <v>150000.0</v>
      </c>
      <c r="E187" s="35">
        <v>16.9</v>
      </c>
      <c r="F187" s="36">
        <v>2535000.0</v>
      </c>
      <c r="G187" s="5"/>
      <c r="H187" s="5" t="s">
        <v>83</v>
      </c>
    </row>
    <row r="188">
      <c r="A188" s="25">
        <v>43866.0</v>
      </c>
      <c r="B188" s="34">
        <v>0.5055555555555555</v>
      </c>
      <c r="C188" s="5" t="s">
        <v>189</v>
      </c>
      <c r="D188" s="12">
        <v>475932.0</v>
      </c>
      <c r="E188" s="35">
        <v>103.67</v>
      </c>
      <c r="F188" s="36">
        <v>4.933987044E7</v>
      </c>
      <c r="G188" s="5"/>
      <c r="H188" s="5" t="s">
        <v>83</v>
      </c>
    </row>
    <row r="189">
      <c r="A189" s="25">
        <v>43866.0</v>
      </c>
      <c r="B189" s="34">
        <v>0.5055555555555555</v>
      </c>
      <c r="C189" s="5" t="s">
        <v>190</v>
      </c>
      <c r="D189" s="12">
        <v>263900.0</v>
      </c>
      <c r="E189" s="35">
        <v>68.42</v>
      </c>
      <c r="F189" s="36">
        <v>1.8056038E7</v>
      </c>
      <c r="G189" s="5"/>
      <c r="H189" s="5" t="s">
        <v>83</v>
      </c>
    </row>
    <row r="190">
      <c r="A190" s="25">
        <v>43866.0</v>
      </c>
      <c r="B190" s="34">
        <v>0.5048611111111111</v>
      </c>
      <c r="C190" s="5" t="s">
        <v>139</v>
      </c>
      <c r="D190" s="12">
        <v>226780.0</v>
      </c>
      <c r="E190" s="35">
        <v>17.2</v>
      </c>
      <c r="F190" s="36">
        <v>3900616.0</v>
      </c>
      <c r="G190" s="5"/>
      <c r="H190" s="5" t="s">
        <v>83</v>
      </c>
    </row>
    <row r="191">
      <c r="A191" s="25">
        <v>43866.0</v>
      </c>
      <c r="B191" s="34">
        <v>0.5048611111111111</v>
      </c>
      <c r="C191" s="5" t="s">
        <v>188</v>
      </c>
      <c r="D191" s="12">
        <v>1195000.0</v>
      </c>
      <c r="E191" s="35">
        <v>45.2</v>
      </c>
      <c r="F191" s="36">
        <v>5.4014E7</v>
      </c>
      <c r="G191" s="5" t="b">
        <v>1</v>
      </c>
      <c r="H191" s="5" t="s">
        <v>83</v>
      </c>
    </row>
    <row r="192">
      <c r="A192" s="25">
        <v>43866.0</v>
      </c>
      <c r="B192" s="34">
        <v>0.5041666666666667</v>
      </c>
      <c r="C192" s="5" t="s">
        <v>191</v>
      </c>
      <c r="D192" s="12">
        <v>911766.0</v>
      </c>
      <c r="E192" s="35">
        <v>74.0</v>
      </c>
      <c r="F192" s="36">
        <v>6.7470684E7</v>
      </c>
      <c r="G192" s="5" t="b">
        <v>1</v>
      </c>
      <c r="H192" s="5" t="s">
        <v>83</v>
      </c>
    </row>
    <row r="193">
      <c r="A193" s="25">
        <v>43866.0</v>
      </c>
      <c r="B193" s="34">
        <v>0.5034722222222222</v>
      </c>
      <c r="C193" s="5" t="s">
        <v>192</v>
      </c>
      <c r="D193" s="12">
        <v>535586.0</v>
      </c>
      <c r="E193" s="35">
        <v>16.45</v>
      </c>
      <c r="F193" s="36">
        <v>8810389.7</v>
      </c>
      <c r="G193" s="5"/>
      <c r="H193" s="5" t="s">
        <v>85</v>
      </c>
    </row>
    <row r="194">
      <c r="A194" s="25">
        <v>43866.0</v>
      </c>
      <c r="B194" s="34">
        <v>0.5034722222222222</v>
      </c>
      <c r="C194" s="5" t="s">
        <v>193</v>
      </c>
      <c r="D194" s="12">
        <v>224500.0</v>
      </c>
      <c r="E194" s="35">
        <v>62.4</v>
      </c>
      <c r="F194" s="36">
        <v>1.40076775E7</v>
      </c>
      <c r="G194" s="5"/>
      <c r="H194" s="5" t="s">
        <v>83</v>
      </c>
    </row>
    <row r="195">
      <c r="A195" s="25">
        <v>43866.0</v>
      </c>
      <c r="B195" s="34">
        <v>0.5034722222222222</v>
      </c>
      <c r="C195" s="5" t="s">
        <v>194</v>
      </c>
      <c r="D195" s="12">
        <v>341211.0</v>
      </c>
      <c r="E195" s="35">
        <v>12.45</v>
      </c>
      <c r="F195" s="36">
        <v>4248076.95</v>
      </c>
      <c r="G195" s="5"/>
      <c r="H195" s="5" t="s">
        <v>83</v>
      </c>
    </row>
    <row r="196">
      <c r="A196" s="25">
        <v>43866.0</v>
      </c>
      <c r="B196" s="34">
        <v>0.5027777777777778</v>
      </c>
      <c r="C196" s="5" t="s">
        <v>158</v>
      </c>
      <c r="D196" s="12">
        <v>200000.0</v>
      </c>
      <c r="E196" s="35">
        <v>15.02</v>
      </c>
      <c r="F196" s="36">
        <v>3003000.0</v>
      </c>
      <c r="G196" s="5"/>
      <c r="H196" s="5" t="s">
        <v>83</v>
      </c>
    </row>
    <row r="197">
      <c r="A197" s="25">
        <v>43866.0</v>
      </c>
      <c r="B197" s="34">
        <v>0.5020833333333333</v>
      </c>
      <c r="C197" s="5" t="s">
        <v>156</v>
      </c>
      <c r="D197" s="12">
        <v>400000.0</v>
      </c>
      <c r="E197" s="35">
        <v>45.0</v>
      </c>
      <c r="F197" s="36">
        <v>1.8E7</v>
      </c>
      <c r="G197" s="5"/>
      <c r="H197" s="5" t="s">
        <v>83</v>
      </c>
    </row>
    <row r="198">
      <c r="A198" s="25">
        <v>43866.0</v>
      </c>
      <c r="B198" s="34">
        <v>0.5013888888888889</v>
      </c>
      <c r="C198" s="5" t="s">
        <v>188</v>
      </c>
      <c r="D198" s="12">
        <v>200000.0</v>
      </c>
      <c r="E198" s="35">
        <v>45.2</v>
      </c>
      <c r="F198" s="36">
        <v>9040000.0</v>
      </c>
      <c r="G198" s="5"/>
      <c r="H198" s="5" t="s">
        <v>83</v>
      </c>
    </row>
    <row r="199">
      <c r="A199" s="25">
        <v>43866.0</v>
      </c>
      <c r="B199" s="34">
        <v>0.5013888888888889</v>
      </c>
      <c r="C199" s="5" t="s">
        <v>196</v>
      </c>
      <c r="D199" s="12">
        <v>393243.0</v>
      </c>
      <c r="E199" s="35">
        <v>22.5</v>
      </c>
      <c r="F199" s="36">
        <v>8847967.5</v>
      </c>
      <c r="G199" s="5"/>
      <c r="H199" s="5" t="s">
        <v>83</v>
      </c>
    </row>
    <row r="200">
      <c r="A200" s="25">
        <v>43866.0</v>
      </c>
      <c r="B200" s="34">
        <v>0.5013888888888889</v>
      </c>
      <c r="C200" s="5" t="s">
        <v>196</v>
      </c>
      <c r="D200" s="12">
        <v>962411.0</v>
      </c>
      <c r="E200" s="35">
        <v>22.5</v>
      </c>
      <c r="F200" s="36">
        <v>2.16542475E7</v>
      </c>
      <c r="G200" s="5"/>
      <c r="H200" s="5" t="s">
        <v>83</v>
      </c>
    </row>
    <row r="201">
      <c r="A201" s="25">
        <v>43866.0</v>
      </c>
      <c r="B201" s="34">
        <v>0.5006944444444444</v>
      </c>
      <c r="C201" s="5" t="s">
        <v>84</v>
      </c>
      <c r="D201" s="12">
        <v>960000.0</v>
      </c>
      <c r="E201" s="35">
        <v>87.91</v>
      </c>
      <c r="F201" s="36">
        <v>8.4393984E7</v>
      </c>
      <c r="G201" s="5" t="b">
        <v>1</v>
      </c>
      <c r="H201" s="5" t="s">
        <v>85</v>
      </c>
    </row>
    <row r="202">
      <c r="A202" s="25">
        <v>43866.0</v>
      </c>
      <c r="B202" s="34">
        <v>0.49930555555555556</v>
      </c>
      <c r="C202" s="5" t="s">
        <v>198</v>
      </c>
      <c r="D202" s="12">
        <v>611000.0</v>
      </c>
      <c r="E202" s="35">
        <v>13.67</v>
      </c>
      <c r="F202" s="36">
        <v>8352370.0</v>
      </c>
      <c r="G202" s="5"/>
      <c r="H202" s="5" t="s">
        <v>83</v>
      </c>
    </row>
    <row r="203">
      <c r="A203" s="25">
        <v>43866.0</v>
      </c>
      <c r="B203" s="34">
        <v>0.49930555555555556</v>
      </c>
      <c r="C203" s="5" t="s">
        <v>131</v>
      </c>
      <c r="D203" s="12">
        <v>205000.0</v>
      </c>
      <c r="E203" s="35">
        <v>16.73</v>
      </c>
      <c r="F203" s="36">
        <v>3429650.0</v>
      </c>
      <c r="G203" s="5"/>
      <c r="H203" s="5" t="s">
        <v>85</v>
      </c>
    </row>
    <row r="204">
      <c r="A204" s="25">
        <v>43866.0</v>
      </c>
      <c r="B204" s="34">
        <v>0.4979166666666667</v>
      </c>
      <c r="C204" s="5" t="s">
        <v>199</v>
      </c>
      <c r="D204" s="12">
        <v>400000.0</v>
      </c>
      <c r="E204" s="35">
        <v>21.91</v>
      </c>
      <c r="F204" s="36">
        <v>8764000.0</v>
      </c>
      <c r="G204" s="5"/>
      <c r="H204" s="5" t="s">
        <v>85</v>
      </c>
    </row>
    <row r="205">
      <c r="A205" s="25">
        <v>43866.0</v>
      </c>
      <c r="B205" s="34">
        <v>0.48194444444444445</v>
      </c>
      <c r="C205" s="5" t="s">
        <v>84</v>
      </c>
      <c r="D205" s="12">
        <v>960000.0</v>
      </c>
      <c r="E205" s="35">
        <v>87.9</v>
      </c>
      <c r="F205" s="36">
        <v>8.4384E7</v>
      </c>
      <c r="G205" s="5" t="b">
        <v>1</v>
      </c>
      <c r="H205" s="5" t="s">
        <v>83</v>
      </c>
    </row>
    <row r="206">
      <c r="A206" s="25">
        <v>43866.0</v>
      </c>
      <c r="B206" s="34">
        <v>0.4965277777777778</v>
      </c>
      <c r="C206" s="5" t="s">
        <v>200</v>
      </c>
      <c r="D206" s="12">
        <v>202607.0</v>
      </c>
      <c r="E206" s="35">
        <v>11.05</v>
      </c>
      <c r="F206" s="36">
        <v>2238807.35</v>
      </c>
      <c r="G206" s="5"/>
      <c r="H206" s="5" t="s">
        <v>83</v>
      </c>
    </row>
    <row r="207">
      <c r="A207" s="25">
        <v>43866.0</v>
      </c>
      <c r="B207" s="34">
        <v>0.49375</v>
      </c>
      <c r="C207" s="5" t="s">
        <v>201</v>
      </c>
      <c r="D207" s="12">
        <v>220000.0</v>
      </c>
      <c r="E207" s="35">
        <v>123.4</v>
      </c>
      <c r="F207" s="36">
        <v>2.714745E7</v>
      </c>
      <c r="G207" s="5"/>
      <c r="H207" s="5" t="s">
        <v>85</v>
      </c>
    </row>
    <row r="208">
      <c r="A208" s="25">
        <v>43866.0</v>
      </c>
      <c r="B208" s="34">
        <v>0.4930555555555556</v>
      </c>
      <c r="C208" s="5" t="s">
        <v>108</v>
      </c>
      <c r="D208" s="12">
        <v>300000.0</v>
      </c>
      <c r="E208" s="35">
        <v>14.03</v>
      </c>
      <c r="F208" s="36">
        <v>4209000.0</v>
      </c>
      <c r="G208" s="5"/>
      <c r="H208" s="5" t="s">
        <v>83</v>
      </c>
    </row>
    <row r="209">
      <c r="A209" s="25">
        <v>43866.0</v>
      </c>
      <c r="B209" s="34">
        <v>0.49236111111111114</v>
      </c>
      <c r="C209" s="5" t="s">
        <v>202</v>
      </c>
      <c r="D209" s="12">
        <v>199300.0</v>
      </c>
      <c r="E209" s="35">
        <v>38.74</v>
      </c>
      <c r="F209" s="36">
        <v>7720882.0</v>
      </c>
      <c r="G209" s="5"/>
      <c r="H209" s="5" t="s">
        <v>83</v>
      </c>
    </row>
    <row r="210">
      <c r="A210" s="25">
        <v>43866.0</v>
      </c>
      <c r="B210" s="34">
        <v>0.49166666666666664</v>
      </c>
      <c r="C210" s="5" t="s">
        <v>160</v>
      </c>
      <c r="D210" s="12">
        <v>200000.0</v>
      </c>
      <c r="E210" s="35">
        <v>16.89</v>
      </c>
      <c r="F210" s="36">
        <v>3378000.0</v>
      </c>
      <c r="G210" s="5"/>
      <c r="H210" s="5" t="s">
        <v>83</v>
      </c>
    </row>
    <row r="211">
      <c r="A211" s="25">
        <v>43866.0</v>
      </c>
      <c r="B211" s="34">
        <v>0.49166666666666664</v>
      </c>
      <c r="C211" s="5" t="s">
        <v>106</v>
      </c>
      <c r="D211" s="12">
        <v>517900.0</v>
      </c>
      <c r="E211" s="35">
        <v>7.74</v>
      </c>
      <c r="F211" s="36">
        <v>4008546.0</v>
      </c>
      <c r="G211" s="5"/>
      <c r="H211" s="5" t="s">
        <v>83</v>
      </c>
    </row>
    <row r="212">
      <c r="A212" s="25">
        <v>43866.0</v>
      </c>
      <c r="B212" s="34">
        <v>0.49166666666666664</v>
      </c>
      <c r="C212" s="5" t="s">
        <v>204</v>
      </c>
      <c r="D212" s="12">
        <v>347300.0</v>
      </c>
      <c r="E212" s="35">
        <v>17.66</v>
      </c>
      <c r="F212" s="36">
        <v>6133318.0</v>
      </c>
      <c r="G212" s="5"/>
      <c r="H212" s="5" t="s">
        <v>83</v>
      </c>
    </row>
    <row r="213">
      <c r="A213" s="25">
        <v>43866.0</v>
      </c>
      <c r="B213" s="34">
        <v>0.4909722222222222</v>
      </c>
      <c r="C213" s="5" t="s">
        <v>199</v>
      </c>
      <c r="D213" s="12">
        <v>200000.0</v>
      </c>
      <c r="E213" s="35">
        <v>21.91</v>
      </c>
      <c r="F213" s="36">
        <v>4382000.0</v>
      </c>
      <c r="G213" s="5"/>
      <c r="H213" s="5" t="s">
        <v>83</v>
      </c>
    </row>
    <row r="214">
      <c r="A214" s="25">
        <v>43866.0</v>
      </c>
      <c r="B214" s="34">
        <v>0.4909722222222222</v>
      </c>
      <c r="C214" s="5" t="s">
        <v>205</v>
      </c>
      <c r="D214" s="12">
        <v>200000.0</v>
      </c>
      <c r="E214" s="35">
        <v>27.5</v>
      </c>
      <c r="F214" s="36">
        <v>5500000.0</v>
      </c>
      <c r="G214" s="5"/>
      <c r="H214" s="5" t="s">
        <v>83</v>
      </c>
    </row>
    <row r="215">
      <c r="A215" s="25">
        <v>43866.0</v>
      </c>
      <c r="B215" s="34">
        <v>0.4895833333333333</v>
      </c>
      <c r="C215" s="5" t="s">
        <v>160</v>
      </c>
      <c r="D215" s="12">
        <v>404806.0</v>
      </c>
      <c r="E215" s="35">
        <v>16.9</v>
      </c>
      <c r="F215" s="36">
        <v>6841221.4</v>
      </c>
      <c r="G215" s="5"/>
      <c r="H215" s="5" t="s">
        <v>83</v>
      </c>
    </row>
    <row r="216">
      <c r="A216" s="25">
        <v>43866.0</v>
      </c>
      <c r="B216" s="34">
        <v>0.4895833333333333</v>
      </c>
      <c r="C216" s="5" t="s">
        <v>160</v>
      </c>
      <c r="D216" s="12">
        <v>292953.0</v>
      </c>
      <c r="E216" s="35">
        <v>16.9</v>
      </c>
      <c r="F216" s="36">
        <v>4950905.7</v>
      </c>
      <c r="G216" s="5"/>
      <c r="H216" s="5" t="s">
        <v>83</v>
      </c>
    </row>
    <row r="217">
      <c r="A217" s="25">
        <v>43866.0</v>
      </c>
      <c r="B217" s="34">
        <v>0.48819444444444443</v>
      </c>
      <c r="C217" s="5" t="s">
        <v>115</v>
      </c>
      <c r="D217" s="12">
        <v>250000.0</v>
      </c>
      <c r="E217" s="35">
        <v>14.31</v>
      </c>
      <c r="F217" s="36">
        <v>3577500.0</v>
      </c>
      <c r="G217" s="5"/>
      <c r="H217" s="5" t="s">
        <v>85</v>
      </c>
    </row>
    <row r="218">
      <c r="A218" s="25">
        <v>43866.0</v>
      </c>
      <c r="B218" s="34">
        <v>0.4875</v>
      </c>
      <c r="C218" s="5" t="s">
        <v>206</v>
      </c>
      <c r="D218" s="12">
        <v>166193.0</v>
      </c>
      <c r="E218" s="35">
        <v>35.15</v>
      </c>
      <c r="F218" s="36">
        <v>5840852.985</v>
      </c>
      <c r="G218" s="5"/>
      <c r="H218" s="5" t="s">
        <v>83</v>
      </c>
    </row>
    <row r="219">
      <c r="A219" s="25">
        <v>43866.0</v>
      </c>
      <c r="B219" s="34">
        <v>0.4875</v>
      </c>
      <c r="C219" s="5" t="s">
        <v>207</v>
      </c>
      <c r="D219" s="12">
        <v>150000.0</v>
      </c>
      <c r="E219" s="35">
        <v>9.49</v>
      </c>
      <c r="F219" s="36">
        <v>1423500.0</v>
      </c>
      <c r="G219" s="5"/>
      <c r="H219" s="5" t="s">
        <v>83</v>
      </c>
    </row>
    <row r="220">
      <c r="A220" s="25">
        <v>43866.0</v>
      </c>
      <c r="B220" s="34">
        <v>0.48680555555555555</v>
      </c>
      <c r="C220" s="5" t="s">
        <v>84</v>
      </c>
      <c r="D220" s="12">
        <v>441900.0</v>
      </c>
      <c r="E220" s="35">
        <v>87.91</v>
      </c>
      <c r="F220" s="36">
        <v>3.88452195E7</v>
      </c>
      <c r="G220" s="5"/>
      <c r="H220" s="5" t="s">
        <v>83</v>
      </c>
    </row>
    <row r="221">
      <c r="A221" s="25">
        <v>43866.0</v>
      </c>
      <c r="B221" s="34">
        <v>0.48541666666666666</v>
      </c>
      <c r="C221" s="5" t="s">
        <v>87</v>
      </c>
      <c r="D221" s="12">
        <v>250000.0</v>
      </c>
      <c r="E221" s="35">
        <v>14.39</v>
      </c>
      <c r="F221" s="36">
        <v>3596250.0</v>
      </c>
      <c r="G221" s="5"/>
      <c r="H221" s="5" t="s">
        <v>83</v>
      </c>
    </row>
    <row r="222">
      <c r="A222" s="25">
        <v>43866.0</v>
      </c>
      <c r="B222" s="34">
        <v>0.4847222222222222</v>
      </c>
      <c r="C222" s="5" t="s">
        <v>160</v>
      </c>
      <c r="D222" s="12">
        <v>191959.0</v>
      </c>
      <c r="E222" s="35">
        <v>16.91</v>
      </c>
      <c r="F222" s="36">
        <v>3246026.69</v>
      </c>
      <c r="G222" s="5"/>
      <c r="H222" s="5" t="s">
        <v>83</v>
      </c>
    </row>
    <row r="223">
      <c r="A223" s="25">
        <v>43866.0</v>
      </c>
      <c r="B223" s="34">
        <v>0.4840277777777778</v>
      </c>
      <c r="C223" s="5" t="s">
        <v>208</v>
      </c>
      <c r="D223" s="12">
        <v>150000.0</v>
      </c>
      <c r="E223" s="35">
        <v>11.24</v>
      </c>
      <c r="F223" s="36">
        <v>1686000.0</v>
      </c>
      <c r="G223" s="5"/>
      <c r="H223" s="5" t="s">
        <v>83</v>
      </c>
    </row>
    <row r="224">
      <c r="A224" s="25">
        <v>43866.0</v>
      </c>
      <c r="B224" s="34">
        <v>0.4840277777777778</v>
      </c>
      <c r="C224" s="5" t="s">
        <v>209</v>
      </c>
      <c r="D224" s="12">
        <v>750000.0</v>
      </c>
      <c r="E224" s="35">
        <v>35.19</v>
      </c>
      <c r="F224" s="36">
        <v>2.63925E7</v>
      </c>
      <c r="G224" s="5"/>
      <c r="H224" s="5" t="s">
        <v>85</v>
      </c>
    </row>
    <row r="225">
      <c r="A225" s="25">
        <v>43866.0</v>
      </c>
      <c r="B225" s="34">
        <v>0.4840277777777778</v>
      </c>
      <c r="C225" s="5" t="s">
        <v>125</v>
      </c>
      <c r="D225" s="12">
        <v>729000.0</v>
      </c>
      <c r="E225" s="35">
        <v>41.18</v>
      </c>
      <c r="F225" s="36">
        <v>3.002022E7</v>
      </c>
      <c r="G225" s="5"/>
      <c r="H225" s="5" t="s">
        <v>83</v>
      </c>
    </row>
    <row r="226">
      <c r="A226" s="25">
        <v>43866.0</v>
      </c>
      <c r="B226" s="34">
        <v>0.48333333333333334</v>
      </c>
      <c r="C226" s="5" t="s">
        <v>63</v>
      </c>
      <c r="D226" s="12">
        <v>250000.0</v>
      </c>
      <c r="E226" s="35">
        <v>37.74</v>
      </c>
      <c r="F226" s="36">
        <v>9434750.0</v>
      </c>
      <c r="G226" s="5"/>
      <c r="H226" s="5" t="s">
        <v>83</v>
      </c>
    </row>
    <row r="227">
      <c r="A227" s="25">
        <v>43866.0</v>
      </c>
      <c r="B227" s="34">
        <v>0.48333333333333334</v>
      </c>
      <c r="C227" s="5" t="s">
        <v>210</v>
      </c>
      <c r="D227" s="12">
        <v>250000.0</v>
      </c>
      <c r="E227" s="35">
        <v>28.75</v>
      </c>
      <c r="F227" s="36">
        <v>7186250.0</v>
      </c>
      <c r="G227" s="5"/>
      <c r="H227" s="5" t="s">
        <v>83</v>
      </c>
    </row>
    <row r="228">
      <c r="A228" s="25">
        <v>43866.0</v>
      </c>
      <c r="B228" s="34">
        <v>0.48333333333333334</v>
      </c>
      <c r="C228" s="5" t="s">
        <v>198</v>
      </c>
      <c r="D228" s="12">
        <v>400000.0</v>
      </c>
      <c r="E228" s="35">
        <v>13.63</v>
      </c>
      <c r="F228" s="36">
        <v>5452000.0</v>
      </c>
      <c r="G228" s="5"/>
      <c r="H228" s="5" t="s">
        <v>83</v>
      </c>
    </row>
    <row r="229">
      <c r="A229" s="25">
        <v>43866.0</v>
      </c>
      <c r="B229" s="34">
        <v>0.48194444444444445</v>
      </c>
      <c r="C229" s="5" t="s">
        <v>84</v>
      </c>
      <c r="D229" s="12">
        <v>960000.0</v>
      </c>
      <c r="E229" s="35">
        <v>87.9</v>
      </c>
      <c r="F229" s="36">
        <v>8.4384E7</v>
      </c>
      <c r="G229" s="5" t="b">
        <v>1</v>
      </c>
      <c r="H229" s="5" t="s">
        <v>83</v>
      </c>
    </row>
    <row r="230">
      <c r="A230" s="25">
        <v>43866.0</v>
      </c>
      <c r="B230" s="34">
        <v>0.48125</v>
      </c>
      <c r="C230" s="5" t="s">
        <v>131</v>
      </c>
      <c r="D230" s="12">
        <v>189952.0</v>
      </c>
      <c r="E230" s="35">
        <v>17.01</v>
      </c>
      <c r="F230" s="36">
        <v>3231083.52</v>
      </c>
      <c r="G230" s="5"/>
      <c r="H230" s="5" t="s">
        <v>83</v>
      </c>
    </row>
    <row r="231">
      <c r="A231" s="25">
        <v>43866.0</v>
      </c>
      <c r="B231" s="34">
        <v>0.48055555555555557</v>
      </c>
      <c r="C231" s="5" t="s">
        <v>212</v>
      </c>
      <c r="D231" s="12">
        <v>172234.0</v>
      </c>
      <c r="E231" s="35">
        <v>58.88</v>
      </c>
      <c r="F231" s="36">
        <v>1.014113792E7</v>
      </c>
      <c r="G231" s="5"/>
      <c r="H231" s="5" t="s">
        <v>83</v>
      </c>
    </row>
    <row r="232">
      <c r="A232" s="25">
        <v>43866.0</v>
      </c>
      <c r="B232" s="34">
        <v>0.4798611111111111</v>
      </c>
      <c r="C232" s="5" t="s">
        <v>213</v>
      </c>
      <c r="D232" s="12">
        <v>275000.0</v>
      </c>
      <c r="E232" s="35">
        <v>96.18</v>
      </c>
      <c r="F232" s="36">
        <v>2.6449995E7</v>
      </c>
      <c r="G232" s="5"/>
      <c r="H232" s="5" t="s">
        <v>83</v>
      </c>
    </row>
    <row r="233">
      <c r="A233" s="25">
        <v>43866.0</v>
      </c>
      <c r="B233" s="34">
        <v>0.4798611111111111</v>
      </c>
      <c r="C233" s="5" t="s">
        <v>173</v>
      </c>
      <c r="D233" s="12">
        <v>216740.0</v>
      </c>
      <c r="E233" s="35">
        <v>47.72</v>
      </c>
      <c r="F233" s="36">
        <v>1.0342009188E7</v>
      </c>
      <c r="G233" s="5"/>
      <c r="H233" s="5" t="s">
        <v>83</v>
      </c>
    </row>
    <row r="234">
      <c r="A234" s="25">
        <v>43866.0</v>
      </c>
      <c r="B234" s="34">
        <v>0.4798611111111111</v>
      </c>
      <c r="C234" s="5" t="s">
        <v>214</v>
      </c>
      <c r="D234" s="12">
        <v>416013.0</v>
      </c>
      <c r="E234" s="35">
        <v>19.56</v>
      </c>
      <c r="F234" s="36">
        <v>8137214.28</v>
      </c>
      <c r="G234" s="5"/>
      <c r="H234" s="5" t="s">
        <v>83</v>
      </c>
    </row>
    <row r="235">
      <c r="A235" s="25">
        <v>43866.0</v>
      </c>
      <c r="B235" s="34">
        <v>0.4791666666666667</v>
      </c>
      <c r="C235" s="5" t="s">
        <v>158</v>
      </c>
      <c r="D235" s="12">
        <v>430809.0</v>
      </c>
      <c r="E235" s="35">
        <v>15.05</v>
      </c>
      <c r="F235" s="36">
        <v>6481521.405</v>
      </c>
      <c r="G235" s="5"/>
      <c r="H235" s="5" t="s">
        <v>83</v>
      </c>
    </row>
    <row r="236">
      <c r="A236" s="25">
        <v>43866.0</v>
      </c>
      <c r="B236" s="34">
        <v>0.4791666666666667</v>
      </c>
      <c r="C236" s="5" t="s">
        <v>215</v>
      </c>
      <c r="D236" s="12">
        <v>200000.0</v>
      </c>
      <c r="E236" s="35">
        <v>49.71</v>
      </c>
      <c r="F236" s="36">
        <v>9942000.0</v>
      </c>
      <c r="G236" s="5"/>
      <c r="H236" s="5" t="s">
        <v>83</v>
      </c>
    </row>
    <row r="237">
      <c r="A237" s="25">
        <v>43866.0</v>
      </c>
      <c r="B237" s="34">
        <v>0.4791666666666667</v>
      </c>
      <c r="C237" s="5" t="s">
        <v>158</v>
      </c>
      <c r="D237" s="12">
        <v>861618.0</v>
      </c>
      <c r="E237" s="35">
        <v>15.05</v>
      </c>
      <c r="F237" s="36">
        <v>1.296304281E7</v>
      </c>
      <c r="G237" s="5"/>
      <c r="H237" s="5" t="s">
        <v>83</v>
      </c>
    </row>
    <row r="238">
      <c r="A238" s="25">
        <v>43866.0</v>
      </c>
      <c r="B238" s="34">
        <v>0.4777777777777778</v>
      </c>
      <c r="C238" s="5" t="s">
        <v>212</v>
      </c>
      <c r="D238" s="12">
        <v>334000.0</v>
      </c>
      <c r="E238" s="35">
        <v>58.89</v>
      </c>
      <c r="F238" s="36">
        <v>1.96702954E7</v>
      </c>
      <c r="G238" s="5"/>
      <c r="H238" s="5" t="s">
        <v>83</v>
      </c>
    </row>
    <row r="239">
      <c r="A239" s="25">
        <v>43866.0</v>
      </c>
      <c r="B239" s="34">
        <v>0.475</v>
      </c>
      <c r="C239" s="5" t="s">
        <v>67</v>
      </c>
      <c r="D239" s="12">
        <v>250000.0</v>
      </c>
      <c r="E239" s="35">
        <v>37.65</v>
      </c>
      <c r="F239" s="36">
        <v>9412500.0</v>
      </c>
      <c r="G239" s="5"/>
      <c r="H239" s="5" t="s">
        <v>83</v>
      </c>
    </row>
    <row r="240">
      <c r="A240" s="25">
        <v>43866.0</v>
      </c>
      <c r="B240" s="34">
        <v>0.475</v>
      </c>
      <c r="C240" s="5" t="s">
        <v>88</v>
      </c>
      <c r="D240" s="12">
        <v>528789.0</v>
      </c>
      <c r="E240" s="35">
        <v>52.8</v>
      </c>
      <c r="F240" s="36">
        <v>2.79200592E7</v>
      </c>
      <c r="G240" s="5"/>
      <c r="H240" s="5" t="s">
        <v>83</v>
      </c>
    </row>
    <row r="241">
      <c r="A241" s="25">
        <v>43866.0</v>
      </c>
      <c r="B241" s="34">
        <v>0.47430555555555554</v>
      </c>
      <c r="C241" s="5" t="s">
        <v>171</v>
      </c>
      <c r="D241" s="12">
        <v>314800.0</v>
      </c>
      <c r="E241" s="35">
        <v>69.32</v>
      </c>
      <c r="F241" s="36">
        <v>2.1821936E7</v>
      </c>
      <c r="G241" s="5"/>
      <c r="H241" s="5" t="s">
        <v>83</v>
      </c>
    </row>
    <row r="242">
      <c r="A242" s="25">
        <v>43866.0</v>
      </c>
      <c r="B242" s="34">
        <v>0.4736111111111111</v>
      </c>
      <c r="C242" s="5" t="s">
        <v>188</v>
      </c>
      <c r="D242" s="12">
        <v>150000.0</v>
      </c>
      <c r="E242" s="35">
        <v>45.44</v>
      </c>
      <c r="F242" s="36">
        <v>6816285.0</v>
      </c>
      <c r="G242" s="5"/>
      <c r="H242" s="5" t="s">
        <v>83</v>
      </c>
    </row>
    <row r="243">
      <c r="A243" s="25">
        <v>43866.0</v>
      </c>
      <c r="B243" s="34">
        <v>0.4736111111111111</v>
      </c>
      <c r="C243" s="5" t="s">
        <v>188</v>
      </c>
      <c r="D243" s="12">
        <v>194938.0</v>
      </c>
      <c r="E243" s="35">
        <v>45.44</v>
      </c>
      <c r="F243" s="36">
        <v>8858353.1022</v>
      </c>
      <c r="G243" s="5"/>
      <c r="H243" s="5" t="s">
        <v>83</v>
      </c>
    </row>
    <row r="244">
      <c r="A244" s="25">
        <v>43866.0</v>
      </c>
      <c r="B244" s="34">
        <v>0.4736111111111111</v>
      </c>
      <c r="C244" s="5" t="s">
        <v>188</v>
      </c>
      <c r="D244" s="12">
        <v>350675.0</v>
      </c>
      <c r="E244" s="35">
        <v>45.44</v>
      </c>
      <c r="F244" s="36">
        <v>1.59353382825E7</v>
      </c>
      <c r="G244" s="5"/>
      <c r="H244" s="5" t="s">
        <v>83</v>
      </c>
    </row>
    <row r="245">
      <c r="A245" s="25">
        <v>43866.0</v>
      </c>
      <c r="B245" s="34">
        <v>0.47291666666666665</v>
      </c>
      <c r="C245" s="5" t="s">
        <v>218</v>
      </c>
      <c r="D245" s="12">
        <v>535626.0</v>
      </c>
      <c r="E245" s="35">
        <v>60.69</v>
      </c>
      <c r="F245" s="36">
        <v>3.250714194E7</v>
      </c>
      <c r="G245" s="5"/>
      <c r="H245" s="5" t="s">
        <v>83</v>
      </c>
    </row>
    <row r="246">
      <c r="A246" s="25">
        <v>43866.0</v>
      </c>
      <c r="B246" s="34">
        <v>0.4722222222222222</v>
      </c>
      <c r="C246" s="5" t="s">
        <v>150</v>
      </c>
      <c r="D246" s="12">
        <v>417735.0</v>
      </c>
      <c r="E246" s="35">
        <v>128.85</v>
      </c>
      <c r="F246" s="36">
        <v>5.382515475E7</v>
      </c>
      <c r="G246" s="5" t="b">
        <v>1</v>
      </c>
      <c r="H246" s="5" t="s">
        <v>83</v>
      </c>
    </row>
    <row r="247">
      <c r="A247" s="25">
        <v>43866.0</v>
      </c>
      <c r="B247" s="34">
        <v>0.47152777777777777</v>
      </c>
      <c r="C247" s="5" t="s">
        <v>84</v>
      </c>
      <c r="D247" s="12">
        <v>648000.0</v>
      </c>
      <c r="E247" s="35">
        <v>87.94</v>
      </c>
      <c r="F247" s="36">
        <v>5.69822688E7</v>
      </c>
      <c r="G247" s="5" t="b">
        <v>1</v>
      </c>
      <c r="H247" s="5" t="s">
        <v>85</v>
      </c>
    </row>
    <row r="248">
      <c r="A248" s="25">
        <v>43866.0</v>
      </c>
      <c r="B248" s="34">
        <v>0.47152777777777777</v>
      </c>
      <c r="C248" s="5" t="s">
        <v>219</v>
      </c>
      <c r="D248" s="12">
        <v>192350.0</v>
      </c>
      <c r="E248" s="35">
        <v>49.9</v>
      </c>
      <c r="F248" s="36">
        <v>9598265.0</v>
      </c>
      <c r="G248" s="5"/>
      <c r="H248" s="5" t="s">
        <v>83</v>
      </c>
    </row>
    <row r="249">
      <c r="A249" s="25">
        <v>43866.0</v>
      </c>
      <c r="B249" s="34">
        <v>0.4708333333333333</v>
      </c>
      <c r="C249" s="5" t="s">
        <v>188</v>
      </c>
      <c r="D249" s="12">
        <v>200000.0</v>
      </c>
      <c r="E249" s="35">
        <v>45.39</v>
      </c>
      <c r="F249" s="36">
        <v>9078000.0</v>
      </c>
      <c r="G249" s="5"/>
      <c r="H249" s="5" t="s">
        <v>83</v>
      </c>
    </row>
    <row r="250">
      <c r="A250" s="25">
        <v>43866.0</v>
      </c>
      <c r="B250" s="34">
        <v>0.4708333333333333</v>
      </c>
      <c r="C250" s="5" t="s">
        <v>221</v>
      </c>
      <c r="D250" s="12">
        <v>183500.0</v>
      </c>
      <c r="E250" s="35">
        <v>7.15</v>
      </c>
      <c r="F250" s="36">
        <v>1311107.5</v>
      </c>
      <c r="G250" s="5"/>
      <c r="H250" s="5" t="s">
        <v>83</v>
      </c>
    </row>
    <row r="251">
      <c r="A251" s="25">
        <v>43866.0</v>
      </c>
      <c r="B251" s="34">
        <v>0.4701388888888889</v>
      </c>
      <c r="C251" s="5" t="s">
        <v>222</v>
      </c>
      <c r="D251" s="12">
        <v>250000.0</v>
      </c>
      <c r="E251" s="35">
        <v>16.8</v>
      </c>
      <c r="F251" s="36">
        <v>4200000.0</v>
      </c>
      <c r="G251" s="5"/>
      <c r="H251" s="5" t="s">
        <v>83</v>
      </c>
    </row>
    <row r="252">
      <c r="A252" s="25">
        <v>43866.0</v>
      </c>
      <c r="B252" s="34">
        <v>0.4701388888888889</v>
      </c>
      <c r="C252" s="5" t="s">
        <v>55</v>
      </c>
      <c r="D252" s="12">
        <v>338958.0</v>
      </c>
      <c r="E252" s="35">
        <v>77.19</v>
      </c>
      <c r="F252" s="36">
        <v>2.616416802E7</v>
      </c>
      <c r="G252" s="5"/>
      <c r="H252" s="5" t="s">
        <v>83</v>
      </c>
    </row>
    <row r="253">
      <c r="A253" s="25">
        <v>43866.0</v>
      </c>
      <c r="B253" s="34">
        <v>0.46944444444444444</v>
      </c>
      <c r="C253" s="5" t="s">
        <v>223</v>
      </c>
      <c r="D253" s="12">
        <v>272099.0</v>
      </c>
      <c r="E253" s="35">
        <v>20.14</v>
      </c>
      <c r="F253" s="36">
        <v>5480073.86</v>
      </c>
      <c r="G253" s="5"/>
      <c r="H253" s="5" t="s">
        <v>83</v>
      </c>
    </row>
    <row r="254">
      <c r="A254" s="25">
        <v>43866.0</v>
      </c>
      <c r="B254" s="34">
        <v>0.46944444444444444</v>
      </c>
      <c r="C254" s="5" t="s">
        <v>224</v>
      </c>
      <c r="D254" s="12">
        <v>383730.0</v>
      </c>
      <c r="E254" s="35">
        <v>27.68</v>
      </c>
      <c r="F254" s="36">
        <v>1.06216464E7</v>
      </c>
      <c r="G254" s="5"/>
      <c r="H254" s="5" t="s">
        <v>83</v>
      </c>
    </row>
    <row r="255">
      <c r="A255" s="25">
        <v>43866.0</v>
      </c>
      <c r="B255" s="34">
        <v>0.46944444444444444</v>
      </c>
      <c r="C255" s="5" t="s">
        <v>226</v>
      </c>
      <c r="D255" s="12">
        <v>248800.0</v>
      </c>
      <c r="E255" s="35">
        <v>45.65</v>
      </c>
      <c r="F255" s="36">
        <v>1.135772E7</v>
      </c>
      <c r="G255" s="5"/>
      <c r="H255" s="5" t="s">
        <v>83</v>
      </c>
    </row>
    <row r="256">
      <c r="A256" s="25">
        <v>43866.0</v>
      </c>
      <c r="B256" s="34">
        <v>0.46944444444444444</v>
      </c>
      <c r="C256" s="5" t="s">
        <v>227</v>
      </c>
      <c r="D256" s="12">
        <v>255000.0</v>
      </c>
      <c r="E256" s="35">
        <v>17.02</v>
      </c>
      <c r="F256" s="36">
        <v>4340253.0</v>
      </c>
      <c r="G256" s="5"/>
      <c r="H256" s="5" t="s">
        <v>85</v>
      </c>
    </row>
    <row r="257">
      <c r="A257" s="25">
        <v>43866.0</v>
      </c>
      <c r="B257" s="34">
        <v>0.46875</v>
      </c>
      <c r="C257" s="5" t="s">
        <v>63</v>
      </c>
      <c r="D257" s="12">
        <v>205000.0</v>
      </c>
      <c r="E257" s="35">
        <v>37.57</v>
      </c>
      <c r="F257" s="36">
        <v>7701850.0</v>
      </c>
      <c r="G257" s="5"/>
      <c r="H257" s="5" t="s">
        <v>83</v>
      </c>
    </row>
    <row r="258">
      <c r="A258" s="25">
        <v>43866.0</v>
      </c>
      <c r="B258" s="34">
        <v>0.46875</v>
      </c>
      <c r="C258" s="5" t="s">
        <v>228</v>
      </c>
      <c r="D258" s="12">
        <v>200000.0</v>
      </c>
      <c r="E258" s="35">
        <v>18.66</v>
      </c>
      <c r="F258" s="36">
        <v>3732000.0</v>
      </c>
      <c r="G258" s="5"/>
      <c r="H258" s="5" t="s">
        <v>83</v>
      </c>
    </row>
    <row r="259">
      <c r="A259" s="25">
        <v>43866.0</v>
      </c>
      <c r="B259" s="34">
        <v>0.46805555555555556</v>
      </c>
      <c r="C259" s="5" t="s">
        <v>229</v>
      </c>
      <c r="D259" s="12">
        <v>150000.0</v>
      </c>
      <c r="E259" s="35">
        <v>13.1</v>
      </c>
      <c r="F259" s="36">
        <v>1965000.0</v>
      </c>
      <c r="G259" s="5"/>
      <c r="H259" s="5" t="s">
        <v>83</v>
      </c>
    </row>
    <row r="260">
      <c r="A260" s="25">
        <v>43866.0</v>
      </c>
      <c r="B260" s="34">
        <v>0.4673611111111111</v>
      </c>
      <c r="C260" s="5" t="s">
        <v>230</v>
      </c>
      <c r="D260" s="12">
        <v>200000.0</v>
      </c>
      <c r="E260" s="35">
        <v>6.55</v>
      </c>
      <c r="F260" s="36">
        <v>1310000.0</v>
      </c>
      <c r="G260" s="5"/>
      <c r="H260" s="5" t="s">
        <v>83</v>
      </c>
    </row>
    <row r="261">
      <c r="A261" s="25">
        <v>43866.0</v>
      </c>
      <c r="B261" s="34">
        <v>0.4666666666666667</v>
      </c>
      <c r="C261" s="5" t="s">
        <v>231</v>
      </c>
      <c r="D261" s="12">
        <v>401678.0</v>
      </c>
      <c r="E261" s="35">
        <v>36.85</v>
      </c>
      <c r="F261" s="36">
        <v>1.48018343E7</v>
      </c>
      <c r="G261" s="5"/>
      <c r="H261" s="5" t="s">
        <v>83</v>
      </c>
    </row>
    <row r="262">
      <c r="A262" s="25">
        <v>43866.0</v>
      </c>
      <c r="B262" s="34">
        <v>0.46597222222222223</v>
      </c>
      <c r="C262" s="5" t="s">
        <v>113</v>
      </c>
      <c r="D262" s="12">
        <v>290000.0</v>
      </c>
      <c r="E262" s="35">
        <v>41.37</v>
      </c>
      <c r="F262" s="36">
        <v>1.19973E7</v>
      </c>
      <c r="G262" s="5"/>
      <c r="H262" s="5" t="s">
        <v>83</v>
      </c>
    </row>
    <row r="263">
      <c r="A263" s="25">
        <v>43866.0</v>
      </c>
      <c r="B263" s="34">
        <v>0.46458333333333335</v>
      </c>
      <c r="C263" s="5" t="s">
        <v>233</v>
      </c>
      <c r="D263" s="12">
        <v>187300.0</v>
      </c>
      <c r="E263" s="35">
        <v>8.0</v>
      </c>
      <c r="F263" s="36">
        <v>1498400.0</v>
      </c>
      <c r="G263" s="5"/>
      <c r="H263" s="5" t="s">
        <v>83</v>
      </c>
    </row>
    <row r="264">
      <c r="A264" s="25">
        <v>43866.0</v>
      </c>
      <c r="B264" s="34">
        <v>0.46319444444444446</v>
      </c>
      <c r="C264" s="5" t="s">
        <v>234</v>
      </c>
      <c r="D264" s="12">
        <v>200000.0</v>
      </c>
      <c r="E264" s="35">
        <v>23.92</v>
      </c>
      <c r="F264" s="36">
        <v>4784620.0</v>
      </c>
      <c r="G264" s="5"/>
      <c r="H264" s="5" t="s">
        <v>83</v>
      </c>
    </row>
    <row r="265">
      <c r="A265" s="25">
        <v>43866.0</v>
      </c>
      <c r="B265" s="34">
        <v>0.4625</v>
      </c>
      <c r="C265" s="5" t="s">
        <v>188</v>
      </c>
      <c r="D265" s="12">
        <v>500000.0</v>
      </c>
      <c r="E265" s="35">
        <v>45.74</v>
      </c>
      <c r="F265" s="36">
        <v>2.28675E7</v>
      </c>
      <c r="G265" s="5"/>
      <c r="H265" s="5" t="s">
        <v>83</v>
      </c>
    </row>
    <row r="266">
      <c r="A266" s="25">
        <v>43866.0</v>
      </c>
      <c r="B266" s="34">
        <v>0.4625</v>
      </c>
      <c r="C266" s="5" t="s">
        <v>235</v>
      </c>
      <c r="D266" s="12">
        <v>300900.0</v>
      </c>
      <c r="E266" s="35">
        <v>5.8</v>
      </c>
      <c r="F266" s="36">
        <v>1745220.0</v>
      </c>
      <c r="G266" s="5"/>
      <c r="H266" s="5" t="s">
        <v>83</v>
      </c>
    </row>
    <row r="267">
      <c r="A267" s="25">
        <v>43866.0</v>
      </c>
      <c r="B267" s="34">
        <v>0.4625</v>
      </c>
      <c r="C267" s="5" t="s">
        <v>139</v>
      </c>
      <c r="D267" s="12">
        <v>150000.0</v>
      </c>
      <c r="E267" s="35">
        <v>17.2</v>
      </c>
      <c r="F267" s="36">
        <v>2580000.0</v>
      </c>
      <c r="G267" s="5"/>
      <c r="H267" s="5" t="s">
        <v>83</v>
      </c>
    </row>
    <row r="268">
      <c r="A268" s="25">
        <v>43866.0</v>
      </c>
      <c r="B268" s="34">
        <v>0.44375</v>
      </c>
      <c r="C268" s="5" t="s">
        <v>98</v>
      </c>
      <c r="D268" s="12">
        <v>616100.0</v>
      </c>
      <c r="E268" s="35">
        <v>23.36</v>
      </c>
      <c r="F268" s="36">
        <v>1.4392096E7</v>
      </c>
      <c r="G268" s="5"/>
      <c r="H268" s="5" t="s">
        <v>83</v>
      </c>
    </row>
    <row r="269">
      <c r="A269" s="25">
        <v>43866.0</v>
      </c>
      <c r="B269" s="34">
        <v>0.4618055555555556</v>
      </c>
      <c r="C269" s="5" t="s">
        <v>235</v>
      </c>
      <c r="D269" s="12">
        <v>300900.0</v>
      </c>
      <c r="E269" s="35">
        <v>5.8</v>
      </c>
      <c r="F269" s="36">
        <v>1745220.0</v>
      </c>
      <c r="G269" s="5"/>
      <c r="H269" s="5" t="s">
        <v>83</v>
      </c>
    </row>
    <row r="270">
      <c r="A270" s="25">
        <v>43866.0</v>
      </c>
      <c r="B270" s="34">
        <v>0.4618055555555556</v>
      </c>
      <c r="C270" s="5" t="s">
        <v>236</v>
      </c>
      <c r="D270" s="12">
        <v>250000.0</v>
      </c>
      <c r="E270" s="35">
        <v>19.05</v>
      </c>
      <c r="F270" s="36">
        <v>4762500.0</v>
      </c>
      <c r="G270" s="5"/>
      <c r="H270" s="5" t="s">
        <v>83</v>
      </c>
    </row>
    <row r="271">
      <c r="A271" s="25">
        <v>43866.0</v>
      </c>
      <c r="B271" s="34">
        <v>0.4618055555555556</v>
      </c>
      <c r="C271" s="5" t="s">
        <v>144</v>
      </c>
      <c r="D271" s="12">
        <v>3563631.0</v>
      </c>
      <c r="E271" s="35">
        <v>43.56</v>
      </c>
      <c r="F271" s="36">
        <v>1.552335481755E8</v>
      </c>
      <c r="G271" s="5" t="b">
        <v>1</v>
      </c>
      <c r="H271" s="5" t="s">
        <v>83</v>
      </c>
    </row>
    <row r="272">
      <c r="A272" s="25">
        <v>43866.0</v>
      </c>
      <c r="B272" s="34">
        <v>0.46111111111111114</v>
      </c>
      <c r="C272" s="5" t="s">
        <v>181</v>
      </c>
      <c r="D272" s="12">
        <v>200000.0</v>
      </c>
      <c r="E272" s="35">
        <v>12.37</v>
      </c>
      <c r="F272" s="36">
        <v>2473000.0</v>
      </c>
      <c r="G272" s="5"/>
      <c r="H272" s="5" t="s">
        <v>85</v>
      </c>
    </row>
    <row r="273">
      <c r="A273" s="25">
        <v>43866.0</v>
      </c>
      <c r="B273" s="34">
        <v>0.4597222222222222</v>
      </c>
      <c r="C273" s="5" t="s">
        <v>100</v>
      </c>
      <c r="D273" s="12">
        <v>419099.0</v>
      </c>
      <c r="E273" s="35">
        <v>83.42</v>
      </c>
      <c r="F273" s="36">
        <v>3.496123858E7</v>
      </c>
      <c r="G273" s="5"/>
      <c r="H273" s="5" t="s">
        <v>83</v>
      </c>
    </row>
    <row r="274">
      <c r="A274" s="25">
        <v>43866.0</v>
      </c>
      <c r="B274" s="34">
        <v>0.4597222222222222</v>
      </c>
      <c r="C274" s="5" t="s">
        <v>127</v>
      </c>
      <c r="D274" s="12">
        <v>196900.0</v>
      </c>
      <c r="E274" s="35">
        <v>90.71</v>
      </c>
      <c r="F274" s="36">
        <v>1.7860799E7</v>
      </c>
      <c r="G274" s="5"/>
      <c r="H274" s="5" t="s">
        <v>83</v>
      </c>
    </row>
    <row r="275">
      <c r="A275" s="25">
        <v>43866.0</v>
      </c>
      <c r="B275" s="34">
        <v>0.4597222222222222</v>
      </c>
      <c r="C275" s="5" t="s">
        <v>137</v>
      </c>
      <c r="D275" s="12">
        <v>540000.0</v>
      </c>
      <c r="E275" s="35">
        <v>43.98</v>
      </c>
      <c r="F275" s="36">
        <v>2.37492E7</v>
      </c>
      <c r="G275" s="5"/>
      <c r="H275" s="5" t="s">
        <v>83</v>
      </c>
    </row>
    <row r="276">
      <c r="A276" s="25">
        <v>43866.0</v>
      </c>
      <c r="B276" s="34">
        <v>0.45902777777777776</v>
      </c>
      <c r="C276" s="5" t="s">
        <v>127</v>
      </c>
      <c r="D276" s="12">
        <v>196900.0</v>
      </c>
      <c r="E276" s="35">
        <v>90.65</v>
      </c>
      <c r="F276" s="36">
        <v>1.78480005E7</v>
      </c>
      <c r="G276" s="5"/>
      <c r="H276" s="5" t="s">
        <v>83</v>
      </c>
    </row>
    <row r="277">
      <c r="A277" s="25">
        <v>43866.0</v>
      </c>
      <c r="B277" s="34">
        <v>0.4583333333333333</v>
      </c>
      <c r="C277" s="5" t="s">
        <v>237</v>
      </c>
      <c r="D277" s="12">
        <v>153689.0</v>
      </c>
      <c r="E277" s="35">
        <v>67.66</v>
      </c>
      <c r="F277" s="36">
        <v>1.03983210998E7</v>
      </c>
      <c r="G277" s="5"/>
      <c r="H277" s="5" t="s">
        <v>83</v>
      </c>
    </row>
    <row r="278">
      <c r="A278" s="25">
        <v>43866.0</v>
      </c>
      <c r="B278" s="34">
        <v>0.4583333333333333</v>
      </c>
      <c r="C278" s="5" t="s">
        <v>108</v>
      </c>
      <c r="D278" s="12">
        <v>500000.0</v>
      </c>
      <c r="E278" s="35">
        <v>14.02</v>
      </c>
      <c r="F278" s="36">
        <v>7010000.0</v>
      </c>
      <c r="G278" s="5"/>
      <c r="H278" s="5" t="s">
        <v>83</v>
      </c>
    </row>
    <row r="279">
      <c r="A279" s="25">
        <v>43866.0</v>
      </c>
      <c r="B279" s="34">
        <v>0.4583333333333333</v>
      </c>
      <c r="C279" s="5" t="s">
        <v>238</v>
      </c>
      <c r="D279" s="12">
        <v>497800.0</v>
      </c>
      <c r="E279" s="35">
        <v>46.79</v>
      </c>
      <c r="F279" s="36">
        <v>2.3292062E7</v>
      </c>
      <c r="G279" s="5"/>
      <c r="H279" s="5" t="s">
        <v>83</v>
      </c>
    </row>
    <row r="280">
      <c r="A280" s="25">
        <v>43866.0</v>
      </c>
      <c r="B280" s="34">
        <v>0.45694444444444443</v>
      </c>
      <c r="C280" s="5" t="s">
        <v>239</v>
      </c>
      <c r="D280" s="12">
        <v>500000.0</v>
      </c>
      <c r="E280" s="35">
        <v>23.33</v>
      </c>
      <c r="F280" s="36">
        <v>1.1665E7</v>
      </c>
      <c r="G280" s="5"/>
      <c r="H280" s="5" t="s">
        <v>83</v>
      </c>
    </row>
    <row r="281">
      <c r="A281" s="25">
        <v>43866.0</v>
      </c>
      <c r="B281" s="34">
        <v>0.45625</v>
      </c>
      <c r="C281" s="5" t="s">
        <v>84</v>
      </c>
      <c r="D281" s="12">
        <v>2000000.0</v>
      </c>
      <c r="E281" s="35">
        <v>87.85</v>
      </c>
      <c r="F281" s="36">
        <v>1.757E8</v>
      </c>
      <c r="G281" s="5" t="b">
        <v>1</v>
      </c>
      <c r="H281" s="5" t="s">
        <v>83</v>
      </c>
    </row>
    <row r="282">
      <c r="A282" s="25">
        <v>43866.0</v>
      </c>
      <c r="B282" s="34">
        <v>0.45555555555555555</v>
      </c>
      <c r="C282" s="5" t="s">
        <v>44</v>
      </c>
      <c r="D282" s="12">
        <v>150000.0</v>
      </c>
      <c r="E282" s="35">
        <v>12.17</v>
      </c>
      <c r="F282" s="36">
        <v>1825500.0</v>
      </c>
      <c r="G282" s="5"/>
      <c r="H282" s="5" t="s">
        <v>83</v>
      </c>
    </row>
    <row r="283">
      <c r="A283" s="25">
        <v>43866.0</v>
      </c>
      <c r="B283" s="34">
        <v>0.45555555555555555</v>
      </c>
      <c r="C283" s="5" t="s">
        <v>240</v>
      </c>
      <c r="D283" s="12">
        <v>271562.0</v>
      </c>
      <c r="E283" s="35">
        <v>6.34</v>
      </c>
      <c r="F283" s="36">
        <v>1721703.08</v>
      </c>
      <c r="G283" s="5"/>
      <c r="H283" s="5" t="s">
        <v>83</v>
      </c>
    </row>
    <row r="284">
      <c r="A284" s="25">
        <v>43866.0</v>
      </c>
      <c r="B284" s="34">
        <v>0.4548611111111111</v>
      </c>
      <c r="C284" s="5" t="s">
        <v>165</v>
      </c>
      <c r="D284" s="12">
        <v>175300.0</v>
      </c>
      <c r="E284" s="35">
        <v>47.93</v>
      </c>
      <c r="F284" s="36">
        <v>8401252.5</v>
      </c>
      <c r="G284" s="5"/>
      <c r="H284" s="5" t="s">
        <v>83</v>
      </c>
    </row>
    <row r="285">
      <c r="A285" s="25">
        <v>43866.0</v>
      </c>
      <c r="B285" s="34">
        <v>0.4534722222222222</v>
      </c>
      <c r="C285" s="5" t="s">
        <v>71</v>
      </c>
      <c r="D285" s="12">
        <v>359500.0</v>
      </c>
      <c r="E285" s="35">
        <v>9.2</v>
      </c>
      <c r="F285" s="36">
        <v>3307400.0</v>
      </c>
      <c r="G285" s="5"/>
      <c r="H285" s="5" t="s">
        <v>83</v>
      </c>
    </row>
    <row r="286">
      <c r="A286" s="25">
        <v>43866.0</v>
      </c>
      <c r="B286" s="34">
        <v>0.4513888888888889</v>
      </c>
      <c r="C286" s="5" t="s">
        <v>84</v>
      </c>
      <c r="D286" s="12">
        <v>963891.0</v>
      </c>
      <c r="E286" s="35">
        <v>87.92</v>
      </c>
      <c r="F286" s="36">
        <v>8.474529672E7</v>
      </c>
      <c r="G286" s="5" t="b">
        <v>1</v>
      </c>
      <c r="H286" s="5" t="s">
        <v>83</v>
      </c>
    </row>
    <row r="287">
      <c r="A287" s="25">
        <v>43866.0</v>
      </c>
      <c r="B287" s="34">
        <v>0.45069444444444445</v>
      </c>
      <c r="C287" s="5" t="s">
        <v>84</v>
      </c>
      <c r="D287" s="12">
        <v>973320.0</v>
      </c>
      <c r="E287" s="35">
        <v>87.92</v>
      </c>
      <c r="F287" s="36">
        <v>8.55742944E7</v>
      </c>
      <c r="G287" s="5" t="b">
        <v>1</v>
      </c>
      <c r="H287" s="5" t="s">
        <v>83</v>
      </c>
    </row>
    <row r="288">
      <c r="A288" s="25">
        <v>43866.0</v>
      </c>
      <c r="B288" s="34">
        <v>0.44930555555555557</v>
      </c>
      <c r="C288" s="5" t="s">
        <v>113</v>
      </c>
      <c r="D288" s="12">
        <v>300000.0</v>
      </c>
      <c r="E288" s="35">
        <v>41.33</v>
      </c>
      <c r="F288" s="36">
        <v>1.239933E7</v>
      </c>
      <c r="G288" s="5"/>
      <c r="H288" s="5" t="s">
        <v>83</v>
      </c>
    </row>
    <row r="289">
      <c r="A289" s="25">
        <v>43866.0</v>
      </c>
      <c r="B289" s="34">
        <v>0.44930555555555557</v>
      </c>
      <c r="C289" s="5" t="s">
        <v>241</v>
      </c>
      <c r="D289" s="12">
        <v>253125.0</v>
      </c>
      <c r="E289" s="35">
        <v>12.2</v>
      </c>
      <c r="F289" s="36">
        <v>3088125.0</v>
      </c>
      <c r="G289" s="5"/>
      <c r="H289" s="5" t="s">
        <v>83</v>
      </c>
    </row>
    <row r="290">
      <c r="A290" s="25">
        <v>43866.0</v>
      </c>
      <c r="B290" s="34">
        <v>0.4486111111111111</v>
      </c>
      <c r="C290" s="5" t="s">
        <v>198</v>
      </c>
      <c r="D290" s="12">
        <v>250000.0</v>
      </c>
      <c r="E290" s="35">
        <v>13.67</v>
      </c>
      <c r="F290" s="36">
        <v>3417500.0</v>
      </c>
      <c r="G290" s="5"/>
      <c r="H290" s="5" t="s">
        <v>83</v>
      </c>
    </row>
    <row r="291">
      <c r="A291" s="25">
        <v>43866.0</v>
      </c>
      <c r="B291" s="34">
        <v>0.44513888888888886</v>
      </c>
      <c r="C291" s="5" t="s">
        <v>131</v>
      </c>
      <c r="D291" s="12">
        <v>151700.0</v>
      </c>
      <c r="E291" s="35">
        <v>17.2</v>
      </c>
      <c r="F291" s="36">
        <v>2609240.0</v>
      </c>
      <c r="G291" s="5"/>
      <c r="H291" s="5" t="s">
        <v>83</v>
      </c>
    </row>
    <row r="292">
      <c r="A292" s="25">
        <v>43866.0</v>
      </c>
      <c r="B292" s="34">
        <v>0.4444444444444444</v>
      </c>
      <c r="C292" s="5" t="s">
        <v>224</v>
      </c>
      <c r="D292" s="12">
        <v>720000.0</v>
      </c>
      <c r="E292" s="35">
        <v>27.68</v>
      </c>
      <c r="F292" s="36">
        <v>1.99296E7</v>
      </c>
      <c r="G292" s="5"/>
      <c r="H292" s="5" t="s">
        <v>83</v>
      </c>
    </row>
    <row r="293">
      <c r="A293" s="25">
        <v>43866.0</v>
      </c>
      <c r="B293" s="34">
        <v>0.44375</v>
      </c>
      <c r="C293" s="5" t="s">
        <v>44</v>
      </c>
      <c r="D293" s="12">
        <v>150000.0</v>
      </c>
      <c r="E293" s="35">
        <v>12.12</v>
      </c>
      <c r="F293" s="36">
        <v>1818000.0</v>
      </c>
      <c r="G293" s="5"/>
      <c r="H293" s="5" t="s">
        <v>83</v>
      </c>
    </row>
    <row r="294">
      <c r="A294" s="25">
        <v>43866.0</v>
      </c>
      <c r="B294" s="34">
        <v>0.44375</v>
      </c>
      <c r="C294" s="5" t="s">
        <v>242</v>
      </c>
      <c r="D294" s="12">
        <v>325000.0</v>
      </c>
      <c r="E294" s="35">
        <v>18.15</v>
      </c>
      <c r="F294" s="36">
        <v>5898750.0</v>
      </c>
      <c r="G294" s="5"/>
      <c r="H294" s="5" t="s">
        <v>83</v>
      </c>
    </row>
    <row r="295">
      <c r="A295" s="25">
        <v>43866.0</v>
      </c>
      <c r="B295" s="34">
        <v>0.44375</v>
      </c>
      <c r="C295" s="5" t="s">
        <v>243</v>
      </c>
      <c r="D295" s="12">
        <v>153037.0</v>
      </c>
      <c r="E295" s="35">
        <v>7.25</v>
      </c>
      <c r="F295" s="36">
        <v>1109793.7166</v>
      </c>
      <c r="G295" s="5"/>
      <c r="H295" s="5" t="s">
        <v>83</v>
      </c>
    </row>
    <row r="296">
      <c r="A296" s="25">
        <v>43866.0</v>
      </c>
      <c r="B296" s="34">
        <v>0.44375</v>
      </c>
      <c r="C296" s="5" t="s">
        <v>98</v>
      </c>
      <c r="D296" s="12">
        <v>616100.0</v>
      </c>
      <c r="E296" s="35">
        <v>23.36</v>
      </c>
      <c r="F296" s="36">
        <v>1.4392096E7</v>
      </c>
      <c r="G296" s="5"/>
      <c r="H296" s="5" t="s">
        <v>83</v>
      </c>
    </row>
    <row r="297">
      <c r="A297" s="25">
        <v>43866.0</v>
      </c>
      <c r="B297" s="34">
        <v>0.44305555555555554</v>
      </c>
      <c r="C297" s="5" t="s">
        <v>90</v>
      </c>
      <c r="D297" s="12">
        <v>240945.0</v>
      </c>
      <c r="E297" s="35">
        <v>8.28</v>
      </c>
      <c r="F297" s="36">
        <v>1993819.875</v>
      </c>
      <c r="G297" s="5"/>
      <c r="H297" s="5" t="s">
        <v>83</v>
      </c>
    </row>
    <row r="298">
      <c r="A298" s="25">
        <v>43866.0</v>
      </c>
      <c r="B298" s="34">
        <v>0.44305555555555554</v>
      </c>
      <c r="C298" s="5" t="s">
        <v>98</v>
      </c>
      <c r="D298" s="12">
        <v>1162700.0</v>
      </c>
      <c r="E298" s="35">
        <v>23.36</v>
      </c>
      <c r="F298" s="36">
        <v>2.7160672E7</v>
      </c>
      <c r="G298" s="5"/>
      <c r="H298" s="5" t="s">
        <v>83</v>
      </c>
    </row>
    <row r="299">
      <c r="A299" s="25">
        <v>43866.0</v>
      </c>
      <c r="B299" s="34">
        <v>0.4423611111111111</v>
      </c>
      <c r="C299" s="5" t="s">
        <v>244</v>
      </c>
      <c r="D299" s="12">
        <v>472656.0</v>
      </c>
      <c r="E299" s="35">
        <v>19.88</v>
      </c>
      <c r="F299" s="36">
        <v>9396401.28</v>
      </c>
      <c r="G299" s="5"/>
      <c r="H299" s="5" t="s">
        <v>83</v>
      </c>
    </row>
    <row r="300">
      <c r="A300" s="25">
        <v>43866.0</v>
      </c>
      <c r="B300" s="34">
        <v>0.44166666666666665</v>
      </c>
      <c r="C300" s="5" t="s">
        <v>44</v>
      </c>
      <c r="D300" s="12">
        <v>150000.0</v>
      </c>
      <c r="E300" s="35">
        <v>12.14</v>
      </c>
      <c r="F300" s="36">
        <v>1821000.0</v>
      </c>
      <c r="G300" s="5"/>
      <c r="H300" s="5" t="s">
        <v>83</v>
      </c>
    </row>
    <row r="301">
      <c r="A301" s="25">
        <v>43866.0</v>
      </c>
      <c r="B301" s="34">
        <v>0.4395833333333333</v>
      </c>
      <c r="C301" s="5" t="s">
        <v>245</v>
      </c>
      <c r="D301" s="12">
        <v>446949.0</v>
      </c>
      <c r="E301" s="35">
        <v>20.11</v>
      </c>
      <c r="F301" s="36">
        <v>8988144.39</v>
      </c>
      <c r="G301" s="5"/>
      <c r="H301" s="5" t="s">
        <v>83</v>
      </c>
    </row>
    <row r="302">
      <c r="A302" s="25">
        <v>43866.0</v>
      </c>
      <c r="B302" s="34">
        <v>0.43819444444444444</v>
      </c>
      <c r="C302" s="5" t="s">
        <v>137</v>
      </c>
      <c r="D302" s="12">
        <v>795000.0</v>
      </c>
      <c r="E302" s="35">
        <v>43.94</v>
      </c>
      <c r="F302" s="36">
        <v>3.49323E7</v>
      </c>
      <c r="G302" s="5"/>
      <c r="H302" s="5" t="s">
        <v>83</v>
      </c>
    </row>
    <row r="303">
      <c r="A303" s="25">
        <v>43866.0</v>
      </c>
      <c r="B303" s="34">
        <v>0.43819444444444444</v>
      </c>
      <c r="C303" s="5" t="s">
        <v>246</v>
      </c>
      <c r="D303" s="12">
        <v>248898.0</v>
      </c>
      <c r="E303" s="35">
        <v>43.16</v>
      </c>
      <c r="F303" s="36">
        <v>1.074243768E7</v>
      </c>
      <c r="G303" s="5"/>
      <c r="H303" s="5" t="s">
        <v>83</v>
      </c>
    </row>
    <row r="304">
      <c r="A304" s="25">
        <v>43866.0</v>
      </c>
      <c r="B304" s="34">
        <v>0.43819444444444444</v>
      </c>
      <c r="C304" s="5" t="s">
        <v>137</v>
      </c>
      <c r="D304" s="12">
        <v>795000.0</v>
      </c>
      <c r="E304" s="35">
        <v>43.96</v>
      </c>
      <c r="F304" s="36">
        <v>3.4946292E7</v>
      </c>
      <c r="G304" s="5"/>
      <c r="H304" s="5" t="s">
        <v>83</v>
      </c>
    </row>
    <row r="305">
      <c r="A305" s="25">
        <v>43866.0</v>
      </c>
      <c r="B305" s="34">
        <v>0.4354166666666667</v>
      </c>
      <c r="C305" s="5" t="s">
        <v>146</v>
      </c>
      <c r="D305" s="12">
        <v>3632933.0</v>
      </c>
      <c r="E305" s="35">
        <v>43.93</v>
      </c>
      <c r="F305" s="36">
        <v>1.5959474669E8</v>
      </c>
      <c r="G305" s="5" t="b">
        <v>1</v>
      </c>
      <c r="H305" s="5" t="s">
        <v>83</v>
      </c>
    </row>
    <row r="306">
      <c r="A306" s="25">
        <v>43866.0</v>
      </c>
      <c r="B306" s="34">
        <v>0.43472222222222223</v>
      </c>
      <c r="C306" s="5" t="s">
        <v>247</v>
      </c>
      <c r="D306" s="12">
        <v>295000.0</v>
      </c>
      <c r="E306" s="35">
        <v>162.83</v>
      </c>
      <c r="F306" s="36">
        <v>4.80349975E7</v>
      </c>
      <c r="G306" s="5"/>
      <c r="H306" s="5" t="s">
        <v>85</v>
      </c>
    </row>
    <row r="307">
      <c r="A307" s="25">
        <v>43866.0</v>
      </c>
      <c r="B307" s="34">
        <v>0.4340277777777778</v>
      </c>
      <c r="C307" s="5" t="s">
        <v>244</v>
      </c>
      <c r="D307" s="12">
        <v>190000.0</v>
      </c>
      <c r="E307" s="35">
        <v>19.83</v>
      </c>
      <c r="F307" s="36">
        <v>3767700.0</v>
      </c>
      <c r="G307" s="5"/>
      <c r="H307" s="5" t="s">
        <v>83</v>
      </c>
    </row>
    <row r="308">
      <c r="A308" s="25">
        <v>43866.0</v>
      </c>
      <c r="B308" s="34">
        <v>0.4340277777777778</v>
      </c>
      <c r="C308" s="5" t="s">
        <v>31</v>
      </c>
      <c r="D308" s="12">
        <v>251562.0</v>
      </c>
      <c r="E308" s="35">
        <v>329.07</v>
      </c>
      <c r="F308" s="36">
        <v>8.27816834334E7</v>
      </c>
      <c r="G308" s="5" t="b">
        <v>1</v>
      </c>
      <c r="H308" s="5" t="s">
        <v>83</v>
      </c>
    </row>
    <row r="309">
      <c r="A309" s="25">
        <v>43866.0</v>
      </c>
      <c r="B309" s="34">
        <v>0.43333333333333335</v>
      </c>
      <c r="C309" s="5" t="s">
        <v>84</v>
      </c>
      <c r="D309" s="12">
        <v>450000.0</v>
      </c>
      <c r="E309" s="35">
        <v>87.93</v>
      </c>
      <c r="F309" s="36">
        <v>3.95685E7</v>
      </c>
      <c r="G309" s="5"/>
      <c r="H309" s="5" t="s">
        <v>83</v>
      </c>
    </row>
    <row r="310">
      <c r="A310" s="25">
        <v>43866.0</v>
      </c>
      <c r="B310" s="34">
        <v>0.43333333333333335</v>
      </c>
      <c r="C310" s="5" t="s">
        <v>175</v>
      </c>
      <c r="D310" s="12">
        <v>556300.0</v>
      </c>
      <c r="E310" s="35">
        <v>130.2</v>
      </c>
      <c r="F310" s="36">
        <v>7.243026E7</v>
      </c>
      <c r="G310" s="5" t="b">
        <v>1</v>
      </c>
      <c r="H310" s="5" t="s">
        <v>83</v>
      </c>
    </row>
    <row r="311">
      <c r="A311" s="25">
        <v>43866.0</v>
      </c>
      <c r="B311" s="34">
        <v>0.4326388888888889</v>
      </c>
      <c r="C311" s="5" t="s">
        <v>248</v>
      </c>
      <c r="D311" s="12">
        <v>525000.0</v>
      </c>
      <c r="E311" s="35">
        <v>14.5</v>
      </c>
      <c r="F311" s="36">
        <v>7612500.0</v>
      </c>
      <c r="G311" s="5"/>
      <c r="H311" s="5" t="s">
        <v>85</v>
      </c>
    </row>
    <row r="312">
      <c r="A312" s="25">
        <v>43866.0</v>
      </c>
      <c r="B312" s="34">
        <v>0.43125</v>
      </c>
      <c r="C312" s="5" t="s">
        <v>200</v>
      </c>
      <c r="D312" s="12">
        <v>190000.0</v>
      </c>
      <c r="E312" s="35">
        <v>11.05</v>
      </c>
      <c r="F312" s="36">
        <v>2099500.0</v>
      </c>
      <c r="G312" s="5"/>
      <c r="H312" s="5" t="s">
        <v>83</v>
      </c>
    </row>
    <row r="313">
      <c r="A313" s="25">
        <v>43866.0</v>
      </c>
      <c r="B313" s="34">
        <v>0.4305555555555556</v>
      </c>
      <c r="C313" s="5" t="s">
        <v>137</v>
      </c>
      <c r="D313" s="12">
        <v>260000.0</v>
      </c>
      <c r="E313" s="35">
        <v>43.97</v>
      </c>
      <c r="F313" s="36">
        <v>1.1431992E7</v>
      </c>
      <c r="G313" s="5"/>
      <c r="H313" s="5" t="s">
        <v>83</v>
      </c>
    </row>
    <row r="314">
      <c r="A314" s="25">
        <v>43866.0</v>
      </c>
      <c r="B314" s="34">
        <v>0.4305555555555556</v>
      </c>
      <c r="C314" s="5" t="s">
        <v>189</v>
      </c>
      <c r="D314" s="12">
        <v>396176.0</v>
      </c>
      <c r="E314" s="35">
        <v>103.3</v>
      </c>
      <c r="F314" s="36">
        <v>4.09249808E7</v>
      </c>
      <c r="G314" s="5"/>
      <c r="H314" s="5" t="s">
        <v>83</v>
      </c>
    </row>
    <row r="315">
      <c r="A315" s="25">
        <v>43866.0</v>
      </c>
      <c r="B315" s="34">
        <v>0.42986111111111114</v>
      </c>
      <c r="C315" s="5" t="s">
        <v>250</v>
      </c>
      <c r="D315" s="12">
        <v>198095.0</v>
      </c>
      <c r="E315" s="35">
        <v>16.17</v>
      </c>
      <c r="F315" s="36">
        <v>3203196.15</v>
      </c>
      <c r="G315" s="5"/>
      <c r="H315" s="5" t="s">
        <v>83</v>
      </c>
    </row>
    <row r="316">
      <c r="A316" s="25">
        <v>43866.0</v>
      </c>
      <c r="B316" s="34">
        <v>0.42986111111111114</v>
      </c>
      <c r="C316" s="5" t="s">
        <v>251</v>
      </c>
      <c r="D316" s="12">
        <v>200000.0</v>
      </c>
      <c r="E316" s="35">
        <v>17.2</v>
      </c>
      <c r="F316" s="36">
        <v>3440000.0</v>
      </c>
      <c r="G316" s="5"/>
      <c r="H316" s="5" t="s">
        <v>83</v>
      </c>
    </row>
    <row r="317">
      <c r="A317" s="25">
        <v>43866.0</v>
      </c>
      <c r="B317" s="34">
        <v>0.42916666666666664</v>
      </c>
      <c r="C317" s="5" t="s">
        <v>76</v>
      </c>
      <c r="D317" s="12">
        <v>380648.0</v>
      </c>
      <c r="E317" s="35">
        <v>66.5</v>
      </c>
      <c r="F317" s="36">
        <v>2.5313092E7</v>
      </c>
      <c r="G317" s="5"/>
      <c r="H317" s="5" t="s">
        <v>83</v>
      </c>
    </row>
    <row r="318">
      <c r="A318" s="25">
        <v>43866.0</v>
      </c>
      <c r="B318" s="34">
        <v>0.42916666666666664</v>
      </c>
      <c r="C318" s="5" t="s">
        <v>113</v>
      </c>
      <c r="D318" s="12">
        <v>440400.0</v>
      </c>
      <c r="E318" s="35">
        <v>41.36</v>
      </c>
      <c r="F318" s="36">
        <v>1.8214944E7</v>
      </c>
      <c r="G318" s="5"/>
      <c r="H318" s="5" t="s">
        <v>83</v>
      </c>
    </row>
    <row r="319">
      <c r="A319" s="25">
        <v>43866.0</v>
      </c>
      <c r="B319" s="34">
        <v>0.42777777777777776</v>
      </c>
      <c r="C319" s="5" t="s">
        <v>252</v>
      </c>
      <c r="D319" s="12">
        <v>181447.0</v>
      </c>
      <c r="E319" s="35">
        <v>15.34</v>
      </c>
      <c r="F319" s="36">
        <v>2782489.745</v>
      </c>
      <c r="G319" s="5"/>
      <c r="H319" s="5" t="s">
        <v>83</v>
      </c>
    </row>
    <row r="320">
      <c r="A320" s="25">
        <v>43866.0</v>
      </c>
      <c r="B320" s="34">
        <v>0.42777777777777776</v>
      </c>
      <c r="C320" s="5" t="s">
        <v>253</v>
      </c>
      <c r="D320" s="12">
        <v>263870.0</v>
      </c>
      <c r="E320" s="35">
        <v>29.87</v>
      </c>
      <c r="F320" s="36">
        <v>7881796.9</v>
      </c>
      <c r="G320" s="5"/>
      <c r="H320" s="5" t="s">
        <v>83</v>
      </c>
    </row>
    <row r="321">
      <c r="A321" s="25">
        <v>43866.0</v>
      </c>
      <c r="B321" s="34">
        <v>0.4263888888888889</v>
      </c>
      <c r="C321" s="5" t="s">
        <v>165</v>
      </c>
      <c r="D321" s="12">
        <v>350300.0</v>
      </c>
      <c r="E321" s="35">
        <v>47.96</v>
      </c>
      <c r="F321" s="36">
        <v>1.67986365E7</v>
      </c>
      <c r="G321" s="5"/>
      <c r="H321" s="5" t="s">
        <v>83</v>
      </c>
    </row>
    <row r="322">
      <c r="A322" s="25">
        <v>43866.0</v>
      </c>
      <c r="B322" s="34">
        <v>0.4215277777777778</v>
      </c>
      <c r="C322" s="5" t="s">
        <v>82</v>
      </c>
      <c r="D322" s="12">
        <v>192300.0</v>
      </c>
      <c r="E322" s="35">
        <v>6.15</v>
      </c>
      <c r="F322" s="36">
        <v>1181683.5</v>
      </c>
      <c r="G322" s="5"/>
      <c r="H322" s="5" t="s">
        <v>83</v>
      </c>
    </row>
    <row r="323">
      <c r="A323" s="25">
        <v>43866.0</v>
      </c>
      <c r="B323" s="34">
        <v>0.4215277777777778</v>
      </c>
      <c r="C323" s="5" t="s">
        <v>243</v>
      </c>
      <c r="D323" s="12">
        <v>160000.0</v>
      </c>
      <c r="E323" s="35">
        <v>7.25</v>
      </c>
      <c r="F323" s="36">
        <v>1160000.0</v>
      </c>
      <c r="G323" s="5"/>
      <c r="H323" s="5" t="s">
        <v>83</v>
      </c>
    </row>
    <row r="324">
      <c r="A324" s="25">
        <v>43866.0</v>
      </c>
      <c r="B324" s="34">
        <v>0.4215277777777778</v>
      </c>
      <c r="C324" s="5" t="s">
        <v>49</v>
      </c>
      <c r="D324" s="12">
        <v>437385.0</v>
      </c>
      <c r="E324" s="35">
        <v>229.0</v>
      </c>
      <c r="F324" s="36">
        <v>1.00161165E8</v>
      </c>
      <c r="G324" s="5" t="b">
        <v>1</v>
      </c>
      <c r="H324" s="5" t="s">
        <v>83</v>
      </c>
    </row>
    <row r="325">
      <c r="A325" s="25">
        <v>43866.0</v>
      </c>
      <c r="B325" s="34">
        <v>0.42083333333333334</v>
      </c>
      <c r="C325" s="5" t="s">
        <v>254</v>
      </c>
      <c r="D325" s="12">
        <v>268809.0</v>
      </c>
      <c r="E325" s="35">
        <v>9.88</v>
      </c>
      <c r="F325" s="36">
        <v>2655832.92</v>
      </c>
      <c r="G325" s="5"/>
      <c r="H325" s="5" t="s">
        <v>83</v>
      </c>
    </row>
    <row r="326">
      <c r="A326" s="25">
        <v>43866.0</v>
      </c>
      <c r="B326" s="34">
        <v>0.4201388888888889</v>
      </c>
      <c r="C326" s="5" t="s">
        <v>82</v>
      </c>
      <c r="D326" s="12">
        <v>389600.0</v>
      </c>
      <c r="E326" s="35">
        <v>6.18</v>
      </c>
      <c r="F326" s="36">
        <v>2405780.0</v>
      </c>
      <c r="G326" s="5"/>
      <c r="H326" s="5" t="s">
        <v>83</v>
      </c>
    </row>
    <row r="327">
      <c r="A327" s="25">
        <v>43866.0</v>
      </c>
      <c r="B327" s="34">
        <v>0.4201388888888889</v>
      </c>
      <c r="C327" s="5" t="s">
        <v>255</v>
      </c>
      <c r="D327" s="12">
        <v>217982.0</v>
      </c>
      <c r="E327" s="35">
        <v>71.35</v>
      </c>
      <c r="F327" s="36">
        <v>1.55530157E7</v>
      </c>
      <c r="G327" s="5"/>
      <c r="H327" s="5" t="s">
        <v>83</v>
      </c>
    </row>
    <row r="328">
      <c r="A328" s="25">
        <v>43866.0</v>
      </c>
      <c r="B328" s="34">
        <v>0.4201388888888889</v>
      </c>
      <c r="C328" s="5" t="s">
        <v>84</v>
      </c>
      <c r="D328" s="12">
        <v>575000.0</v>
      </c>
      <c r="E328" s="35">
        <v>87.94</v>
      </c>
      <c r="F328" s="36">
        <v>5.05655E7</v>
      </c>
      <c r="G328" s="5" t="b">
        <v>1</v>
      </c>
      <c r="H328" s="5" t="s">
        <v>83</v>
      </c>
    </row>
    <row r="329">
      <c r="A329" s="25">
        <v>43866.0</v>
      </c>
      <c r="B329" s="34">
        <v>0.41875</v>
      </c>
      <c r="C329" s="5" t="s">
        <v>122</v>
      </c>
      <c r="D329" s="12">
        <v>530355.0</v>
      </c>
      <c r="E329" s="35">
        <v>34.4</v>
      </c>
      <c r="F329" s="36">
        <v>1.8244212E7</v>
      </c>
      <c r="G329" s="5"/>
      <c r="H329" s="5" t="s">
        <v>83</v>
      </c>
    </row>
    <row r="330">
      <c r="A330" s="25">
        <v>43866.0</v>
      </c>
      <c r="B330" s="34">
        <v>0.4166666666666667</v>
      </c>
      <c r="C330" s="5" t="s">
        <v>196</v>
      </c>
      <c r="D330" s="12">
        <v>503900.0</v>
      </c>
      <c r="E330" s="35">
        <v>22.5</v>
      </c>
      <c r="F330" s="36">
        <v>1.133775E7</v>
      </c>
      <c r="G330" s="5"/>
      <c r="H330" s="5" t="s">
        <v>83</v>
      </c>
    </row>
    <row r="331">
      <c r="A331" s="25">
        <v>43866.0</v>
      </c>
      <c r="B331" s="34">
        <v>0.4152777777777778</v>
      </c>
      <c r="C331" s="5" t="s">
        <v>256</v>
      </c>
      <c r="D331" s="12">
        <v>250000.0</v>
      </c>
      <c r="E331" s="35">
        <v>8.25</v>
      </c>
      <c r="F331" s="36">
        <v>2062500.0</v>
      </c>
      <c r="G331" s="5"/>
      <c r="H331" s="5" t="s">
        <v>83</v>
      </c>
    </row>
    <row r="332">
      <c r="A332" s="25">
        <v>43866.0</v>
      </c>
      <c r="B332" s="34">
        <v>0.4152777777777778</v>
      </c>
      <c r="C332" s="5" t="s">
        <v>67</v>
      </c>
      <c r="D332" s="12">
        <v>1846000.0</v>
      </c>
      <c r="E332" s="35">
        <v>37.5</v>
      </c>
      <c r="F332" s="36">
        <v>6.92224156E7</v>
      </c>
      <c r="G332" s="5" t="b">
        <v>1</v>
      </c>
      <c r="H332" s="5" t="s">
        <v>85</v>
      </c>
    </row>
    <row r="333">
      <c r="A333" s="25">
        <v>43866.0</v>
      </c>
      <c r="B333" s="34">
        <v>0.4152777777777778</v>
      </c>
      <c r="C333" s="5" t="s">
        <v>257</v>
      </c>
      <c r="D333" s="12">
        <v>590000.0</v>
      </c>
      <c r="E333" s="35">
        <v>109.57</v>
      </c>
      <c r="F333" s="36">
        <v>6.46463E7</v>
      </c>
      <c r="G333" s="5" t="b">
        <v>1</v>
      </c>
      <c r="H333" s="5" t="s">
        <v>83</v>
      </c>
    </row>
    <row r="334">
      <c r="A334" s="25">
        <v>43866.0</v>
      </c>
      <c r="B334" s="34">
        <v>0.41458333333333336</v>
      </c>
      <c r="C334" s="5" t="s">
        <v>98</v>
      </c>
      <c r="D334" s="12">
        <v>288590.0</v>
      </c>
      <c r="E334" s="35">
        <v>23.36</v>
      </c>
      <c r="F334" s="36">
        <v>6741462.4</v>
      </c>
      <c r="G334" s="5"/>
      <c r="H334" s="5" t="s">
        <v>83</v>
      </c>
    </row>
    <row r="335">
      <c r="A335" s="25">
        <v>43866.0</v>
      </c>
      <c r="B335" s="34">
        <v>0.41458333333333336</v>
      </c>
      <c r="C335" s="5" t="s">
        <v>171</v>
      </c>
      <c r="D335" s="12">
        <v>400000.0</v>
      </c>
      <c r="E335" s="35">
        <v>69.28</v>
      </c>
      <c r="F335" s="36">
        <v>2.7712E7</v>
      </c>
      <c r="G335" s="5"/>
      <c r="H335" s="5" t="s">
        <v>85</v>
      </c>
    </row>
    <row r="336">
      <c r="A336" s="25">
        <v>43866.0</v>
      </c>
      <c r="B336" s="34">
        <v>0.41458333333333336</v>
      </c>
      <c r="C336" s="5" t="s">
        <v>243</v>
      </c>
      <c r="D336" s="12">
        <v>153037.0</v>
      </c>
      <c r="E336" s="35">
        <v>7.27</v>
      </c>
      <c r="F336" s="36">
        <v>1112716.7233</v>
      </c>
      <c r="G336" s="5"/>
      <c r="H336" s="5" t="s">
        <v>83</v>
      </c>
    </row>
    <row r="337">
      <c r="A337" s="25">
        <v>43866.0</v>
      </c>
      <c r="B337" s="34">
        <v>0.41388888888888886</v>
      </c>
      <c r="C337" s="5" t="s">
        <v>131</v>
      </c>
      <c r="D337" s="12">
        <v>163500.0</v>
      </c>
      <c r="E337" s="35">
        <v>17.41</v>
      </c>
      <c r="F337" s="36">
        <v>2845717.5</v>
      </c>
      <c r="G337" s="5"/>
      <c r="H337" s="5" t="s">
        <v>83</v>
      </c>
    </row>
    <row r="338">
      <c r="A338" s="25">
        <v>43866.0</v>
      </c>
      <c r="B338" s="34">
        <v>0.41180555555555554</v>
      </c>
      <c r="C338" s="5" t="s">
        <v>259</v>
      </c>
      <c r="D338" s="12">
        <v>390000.0</v>
      </c>
      <c r="E338" s="35">
        <v>51.15</v>
      </c>
      <c r="F338" s="36">
        <v>1.99485E7</v>
      </c>
      <c r="G338" s="5"/>
      <c r="H338" s="5" t="s">
        <v>83</v>
      </c>
    </row>
    <row r="339">
      <c r="A339" s="25">
        <v>43866.0</v>
      </c>
      <c r="B339" s="34">
        <v>0.41180555555555554</v>
      </c>
      <c r="C339" s="5" t="s">
        <v>193</v>
      </c>
      <c r="D339" s="12">
        <v>200000.0</v>
      </c>
      <c r="E339" s="35">
        <v>61.49</v>
      </c>
      <c r="F339" s="36">
        <v>1.2297E7</v>
      </c>
      <c r="G339" s="5"/>
      <c r="H339" s="5" t="s">
        <v>83</v>
      </c>
    </row>
    <row r="340">
      <c r="A340" s="25">
        <v>43866.0</v>
      </c>
      <c r="B340" s="34">
        <v>0.4111111111111111</v>
      </c>
      <c r="C340" s="5" t="s">
        <v>257</v>
      </c>
      <c r="D340" s="12">
        <v>600000.0</v>
      </c>
      <c r="E340" s="35">
        <v>109.57</v>
      </c>
      <c r="F340" s="36">
        <v>6.5742E7</v>
      </c>
      <c r="G340" s="5" t="b">
        <v>1</v>
      </c>
      <c r="H340" s="5" t="s">
        <v>83</v>
      </c>
    </row>
    <row r="341">
      <c r="A341" s="25">
        <v>43866.0</v>
      </c>
      <c r="B341" s="34">
        <v>0.4111111111111111</v>
      </c>
      <c r="C341" s="5" t="s">
        <v>193</v>
      </c>
      <c r="D341" s="12">
        <v>200884.0</v>
      </c>
      <c r="E341" s="35">
        <v>61.45</v>
      </c>
      <c r="F341" s="36">
        <v>1.234331738E7</v>
      </c>
      <c r="G341" s="5"/>
      <c r="H341" s="5" t="s">
        <v>83</v>
      </c>
    </row>
    <row r="342">
      <c r="A342" s="25">
        <v>43866.0</v>
      </c>
      <c r="B342" s="34">
        <v>0.4111111111111111</v>
      </c>
      <c r="C342" s="5" t="s">
        <v>259</v>
      </c>
      <c r="D342" s="12">
        <v>859473.0</v>
      </c>
      <c r="E342" s="35">
        <v>51.09</v>
      </c>
      <c r="F342" s="36">
        <v>4.3907897151E7</v>
      </c>
      <c r="G342" s="5"/>
      <c r="H342" s="5" t="s">
        <v>83</v>
      </c>
    </row>
    <row r="343">
      <c r="A343" s="25">
        <v>43866.0</v>
      </c>
      <c r="B343" s="34">
        <v>0.4111111111111111</v>
      </c>
      <c r="C343" s="5" t="s">
        <v>261</v>
      </c>
      <c r="D343" s="12">
        <v>170352.0</v>
      </c>
      <c r="E343" s="35">
        <v>14.7</v>
      </c>
      <c r="F343" s="36">
        <v>2504174.4</v>
      </c>
      <c r="G343" s="5"/>
      <c r="H343" s="5" t="s">
        <v>83</v>
      </c>
    </row>
    <row r="344">
      <c r="A344" s="25">
        <v>43866.0</v>
      </c>
      <c r="B344" s="34">
        <v>0.41041666666666665</v>
      </c>
      <c r="C344" s="5" t="s">
        <v>31</v>
      </c>
      <c r="D344" s="12">
        <v>251562.0</v>
      </c>
      <c r="E344" s="35">
        <v>329.07</v>
      </c>
      <c r="F344" s="36">
        <v>8.27816834334E7</v>
      </c>
      <c r="G344" s="5" t="b">
        <v>1</v>
      </c>
      <c r="H344" s="5" t="s">
        <v>83</v>
      </c>
    </row>
    <row r="345">
      <c r="A345" s="25">
        <v>43866.0</v>
      </c>
      <c r="B345" s="34">
        <v>0.4097222222222222</v>
      </c>
      <c r="C345" s="5" t="s">
        <v>189</v>
      </c>
      <c r="D345" s="12">
        <v>496195.0</v>
      </c>
      <c r="E345" s="35">
        <v>103.45</v>
      </c>
      <c r="F345" s="36">
        <v>5.133137275E7</v>
      </c>
      <c r="G345" s="5" t="b">
        <v>1</v>
      </c>
      <c r="H345" s="5" t="s">
        <v>83</v>
      </c>
    </row>
    <row r="346">
      <c r="A346" s="25">
        <v>43866.0</v>
      </c>
      <c r="B346" s="34">
        <v>0.40902777777777777</v>
      </c>
      <c r="C346" s="5" t="s">
        <v>49</v>
      </c>
      <c r="D346" s="12">
        <v>410000.0</v>
      </c>
      <c r="E346" s="35">
        <v>228.25</v>
      </c>
      <c r="F346" s="36">
        <v>9.35825E7</v>
      </c>
      <c r="G346" s="5" t="b">
        <v>1</v>
      </c>
      <c r="H346" s="5" t="s">
        <v>83</v>
      </c>
    </row>
    <row r="347">
      <c r="A347" s="25">
        <v>43866.0</v>
      </c>
      <c r="B347" s="34">
        <v>0.4083333333333333</v>
      </c>
      <c r="C347" s="5" t="s">
        <v>262</v>
      </c>
      <c r="D347" s="12">
        <v>363480.0</v>
      </c>
      <c r="E347" s="35">
        <v>24.1</v>
      </c>
      <c r="F347" s="36">
        <v>8759868.0</v>
      </c>
      <c r="G347" s="5"/>
      <c r="H347" s="5" t="s">
        <v>83</v>
      </c>
    </row>
    <row r="348">
      <c r="A348" s="25">
        <v>43866.0</v>
      </c>
      <c r="B348" s="34">
        <v>0.4083333333333333</v>
      </c>
      <c r="C348" s="5" t="s">
        <v>263</v>
      </c>
      <c r="D348" s="12">
        <v>1650000.0</v>
      </c>
      <c r="E348" s="35">
        <v>10.11</v>
      </c>
      <c r="F348" s="36">
        <v>1.66815E7</v>
      </c>
      <c r="G348" s="5"/>
      <c r="H348" s="5" t="s">
        <v>83</v>
      </c>
    </row>
    <row r="349">
      <c r="A349" s="25">
        <v>43866.0</v>
      </c>
      <c r="B349" s="34">
        <v>0.4083333333333333</v>
      </c>
      <c r="C349" s="5" t="s">
        <v>248</v>
      </c>
      <c r="D349" s="12">
        <v>300000.0</v>
      </c>
      <c r="E349" s="35">
        <v>14.56</v>
      </c>
      <c r="F349" s="36">
        <v>4368000.0</v>
      </c>
      <c r="G349" s="5"/>
      <c r="H349" s="5" t="s">
        <v>83</v>
      </c>
    </row>
    <row r="350">
      <c r="A350" s="25">
        <v>43866.0</v>
      </c>
      <c r="B350" s="34">
        <v>0.4076388888888889</v>
      </c>
      <c r="C350" s="5" t="s">
        <v>207</v>
      </c>
      <c r="D350" s="12">
        <v>759300.0</v>
      </c>
      <c r="E350" s="35">
        <v>9.49</v>
      </c>
      <c r="F350" s="36">
        <v>7205757.0</v>
      </c>
      <c r="G350" s="5"/>
      <c r="H350" s="5" t="s">
        <v>83</v>
      </c>
    </row>
    <row r="351">
      <c r="A351" s="25">
        <v>43866.0</v>
      </c>
      <c r="B351" s="34">
        <v>0.4076388888888889</v>
      </c>
      <c r="C351" s="5" t="s">
        <v>129</v>
      </c>
      <c r="D351" s="12">
        <v>150000.0</v>
      </c>
      <c r="E351" s="35">
        <v>7.93</v>
      </c>
      <c r="F351" s="36">
        <v>1189500.0</v>
      </c>
      <c r="G351" s="5"/>
      <c r="H351" s="5" t="s">
        <v>83</v>
      </c>
    </row>
    <row r="352">
      <c r="A352" s="25">
        <v>43866.0</v>
      </c>
      <c r="B352" s="34">
        <v>0.4076388888888889</v>
      </c>
      <c r="C352" s="5" t="s">
        <v>264</v>
      </c>
      <c r="D352" s="12">
        <v>200000.0</v>
      </c>
      <c r="E352" s="35">
        <v>13.55</v>
      </c>
      <c r="F352" s="36">
        <v>2710000.0</v>
      </c>
      <c r="G352" s="5"/>
      <c r="H352" s="5" t="s">
        <v>83</v>
      </c>
    </row>
    <row r="353">
      <c r="A353" s="25">
        <v>43866.0</v>
      </c>
      <c r="B353" s="34">
        <v>0.40625</v>
      </c>
      <c r="C353" s="5" t="s">
        <v>160</v>
      </c>
      <c r="D353" s="12">
        <v>200000.0</v>
      </c>
      <c r="E353" s="35">
        <v>16.78</v>
      </c>
      <c r="F353" s="36">
        <v>3356000.0</v>
      </c>
      <c r="G353" s="5"/>
      <c r="H353" s="5" t="s">
        <v>83</v>
      </c>
    </row>
    <row r="354">
      <c r="A354" s="25">
        <v>43866.0</v>
      </c>
      <c r="B354" s="34">
        <v>0.4048611111111111</v>
      </c>
      <c r="C354" s="5" t="s">
        <v>31</v>
      </c>
      <c r="D354" s="12">
        <v>251562.0</v>
      </c>
      <c r="E354" s="35">
        <v>329.07</v>
      </c>
      <c r="F354" s="36">
        <v>8.27816834334E7</v>
      </c>
      <c r="G354" s="5" t="b">
        <v>1</v>
      </c>
      <c r="H354" s="5" t="s">
        <v>83</v>
      </c>
    </row>
    <row r="355">
      <c r="A355" s="25">
        <v>43866.0</v>
      </c>
      <c r="B355" s="34">
        <v>0.4048611111111111</v>
      </c>
      <c r="C355" s="5" t="s">
        <v>224</v>
      </c>
      <c r="D355" s="12">
        <v>1785000.0</v>
      </c>
      <c r="E355" s="35">
        <v>27.92</v>
      </c>
      <c r="F355" s="36">
        <v>4.98372E7</v>
      </c>
      <c r="G355" s="5"/>
      <c r="H355" s="5" t="s">
        <v>83</v>
      </c>
    </row>
    <row r="356">
      <c r="A356" s="25">
        <v>43866.0</v>
      </c>
      <c r="B356" s="34">
        <v>0.4048611111111111</v>
      </c>
      <c r="C356" s="5" t="s">
        <v>112</v>
      </c>
      <c r="D356" s="12">
        <v>308290.0</v>
      </c>
      <c r="E356" s="35">
        <v>68.25</v>
      </c>
      <c r="F356" s="36">
        <v>2.10407925E7</v>
      </c>
      <c r="G356" s="5"/>
      <c r="H356" s="5" t="s">
        <v>83</v>
      </c>
    </row>
    <row r="357">
      <c r="A357" s="25">
        <v>43866.0</v>
      </c>
      <c r="B357" s="34">
        <v>0.4048611111111111</v>
      </c>
      <c r="C357" s="5" t="s">
        <v>246</v>
      </c>
      <c r="D357" s="12">
        <v>153700.0</v>
      </c>
      <c r="E357" s="35">
        <v>42.97</v>
      </c>
      <c r="F357" s="36">
        <v>6604489.0</v>
      </c>
      <c r="G357" s="5"/>
      <c r="H357" s="5" t="s">
        <v>83</v>
      </c>
    </row>
    <row r="358">
      <c r="A358" s="25">
        <v>43866.0</v>
      </c>
      <c r="B358" s="34">
        <v>0.4041666666666667</v>
      </c>
      <c r="C358" s="5" t="s">
        <v>266</v>
      </c>
      <c r="D358" s="12">
        <v>175000.0</v>
      </c>
      <c r="E358" s="35">
        <v>38.32</v>
      </c>
      <c r="F358" s="36">
        <v>6706000.0</v>
      </c>
      <c r="G358" s="5"/>
      <c r="H358" s="5" t="s">
        <v>83</v>
      </c>
    </row>
    <row r="359">
      <c r="A359" s="25">
        <v>43866.0</v>
      </c>
      <c r="B359" s="34">
        <v>0.4041666666666667</v>
      </c>
      <c r="C359" s="5" t="s">
        <v>149</v>
      </c>
      <c r="D359" s="12">
        <v>254440.0</v>
      </c>
      <c r="E359" s="35">
        <v>64.75</v>
      </c>
      <c r="F359" s="36">
        <v>1.647499E7</v>
      </c>
      <c r="G359" s="5"/>
      <c r="H359" s="5" t="s">
        <v>83</v>
      </c>
    </row>
    <row r="360">
      <c r="A360" s="25">
        <v>43866.0</v>
      </c>
      <c r="B360" s="34">
        <v>0.40347222222222223</v>
      </c>
      <c r="C360" s="5" t="s">
        <v>156</v>
      </c>
      <c r="D360" s="12">
        <v>308000.0</v>
      </c>
      <c r="E360" s="35">
        <v>45.47</v>
      </c>
      <c r="F360" s="36">
        <v>1.40036204E7</v>
      </c>
      <c r="G360" s="5"/>
      <c r="H360" s="5" t="s">
        <v>85</v>
      </c>
    </row>
    <row r="361">
      <c r="A361" s="25">
        <v>43866.0</v>
      </c>
      <c r="B361" s="34">
        <v>0.4027777777777778</v>
      </c>
      <c r="C361" s="5" t="s">
        <v>267</v>
      </c>
      <c r="D361" s="12">
        <v>151055.0</v>
      </c>
      <c r="E361" s="35">
        <v>33.06</v>
      </c>
      <c r="F361" s="36">
        <v>4993878.3</v>
      </c>
      <c r="G361" s="5"/>
      <c r="H361" s="5" t="s">
        <v>83</v>
      </c>
    </row>
    <row r="362">
      <c r="A362" s="25">
        <v>43866.0</v>
      </c>
      <c r="B362" s="34">
        <v>0.4027777777777778</v>
      </c>
      <c r="C362" s="5" t="s">
        <v>43</v>
      </c>
      <c r="D362" s="12">
        <v>450000.0</v>
      </c>
      <c r="E362" s="35">
        <v>19.53</v>
      </c>
      <c r="F362" s="36">
        <v>8788500.0</v>
      </c>
      <c r="G362" s="5"/>
      <c r="H362" s="5" t="s">
        <v>83</v>
      </c>
    </row>
    <row r="363">
      <c r="A363" s="25">
        <v>43866.0</v>
      </c>
      <c r="B363" s="34">
        <v>0.40208333333333335</v>
      </c>
      <c r="C363" s="5" t="s">
        <v>231</v>
      </c>
      <c r="D363" s="12">
        <v>200000.0</v>
      </c>
      <c r="E363" s="35">
        <v>36.91</v>
      </c>
      <c r="F363" s="36">
        <v>7381000.0</v>
      </c>
      <c r="G363" s="5"/>
      <c r="H363" s="5" t="s">
        <v>83</v>
      </c>
    </row>
    <row r="364">
      <c r="A364" s="25">
        <v>43866.0</v>
      </c>
      <c r="B364" s="34">
        <v>0.40069444444444446</v>
      </c>
      <c r="C364" s="5" t="s">
        <v>266</v>
      </c>
      <c r="D364" s="12">
        <v>250000.0</v>
      </c>
      <c r="E364" s="35">
        <v>38.32</v>
      </c>
      <c r="F364" s="36">
        <v>9580000.0</v>
      </c>
      <c r="G364" s="5"/>
      <c r="H364" s="5" t="s">
        <v>83</v>
      </c>
    </row>
    <row r="365">
      <c r="A365" s="25">
        <v>43866.0</v>
      </c>
      <c r="B365" s="34">
        <v>0.4</v>
      </c>
      <c r="C365" s="5" t="s">
        <v>251</v>
      </c>
      <c r="D365" s="12">
        <v>150000.0</v>
      </c>
      <c r="E365" s="35">
        <v>17.2</v>
      </c>
      <c r="F365" s="36">
        <v>2580000.0</v>
      </c>
      <c r="G365" s="5"/>
      <c r="H365" s="5" t="s">
        <v>83</v>
      </c>
    </row>
    <row r="366">
      <c r="A366" s="25">
        <v>43866.0</v>
      </c>
      <c r="B366" s="34">
        <v>0.3993055555555556</v>
      </c>
      <c r="C366" s="5" t="s">
        <v>266</v>
      </c>
      <c r="D366" s="12">
        <v>246100.0</v>
      </c>
      <c r="E366" s="35">
        <v>38.0</v>
      </c>
      <c r="F366" s="36">
        <v>9351800.0</v>
      </c>
      <c r="G366" s="5"/>
      <c r="H366" s="5" t="s">
        <v>83</v>
      </c>
    </row>
    <row r="367">
      <c r="A367" s="25">
        <v>43866.0</v>
      </c>
      <c r="B367" s="34">
        <v>0.39861111111111114</v>
      </c>
      <c r="C367" s="5" t="s">
        <v>189</v>
      </c>
      <c r="D367" s="12">
        <v>440000.0</v>
      </c>
      <c r="E367" s="35">
        <v>102.67</v>
      </c>
      <c r="F367" s="36">
        <v>4.51748E7</v>
      </c>
      <c r="G367" s="5"/>
      <c r="H367" s="5" t="s">
        <v>83</v>
      </c>
    </row>
    <row r="368">
      <c r="A368" s="25">
        <v>43866.0</v>
      </c>
      <c r="B368" s="34">
        <v>0.39861111111111114</v>
      </c>
      <c r="C368" s="5" t="s">
        <v>131</v>
      </c>
      <c r="D368" s="12">
        <v>151300.0</v>
      </c>
      <c r="E368" s="35">
        <v>17.71</v>
      </c>
      <c r="F368" s="36">
        <v>2678766.5</v>
      </c>
      <c r="G368" s="5"/>
      <c r="H368" s="5" t="s">
        <v>83</v>
      </c>
    </row>
    <row r="369">
      <c r="A369" s="25">
        <v>43866.0</v>
      </c>
      <c r="B369" s="34">
        <v>0.53125</v>
      </c>
      <c r="C369" s="5" t="s">
        <v>203</v>
      </c>
      <c r="D369" s="12">
        <v>200000.0</v>
      </c>
      <c r="E369" s="35">
        <v>317.75</v>
      </c>
      <c r="F369" s="36">
        <v>6.355E7</v>
      </c>
      <c r="G369" s="5" t="b">
        <v>1</v>
      </c>
      <c r="H369" s="5" t="s">
        <v>83</v>
      </c>
    </row>
    <row r="370">
      <c r="A370" s="25">
        <v>43866.0</v>
      </c>
      <c r="B370" s="34">
        <v>0.5298611111111111</v>
      </c>
      <c r="C370" s="5" t="s">
        <v>31</v>
      </c>
      <c r="D370" s="12">
        <v>280000.0</v>
      </c>
      <c r="E370" s="35">
        <v>329.85</v>
      </c>
      <c r="F370" s="36">
        <v>9.2358E7</v>
      </c>
      <c r="G370" s="5" t="b">
        <v>1</v>
      </c>
      <c r="H370" s="5" t="s">
        <v>83</v>
      </c>
    </row>
    <row r="371">
      <c r="A371" s="25">
        <v>43866.0</v>
      </c>
      <c r="B371" s="34">
        <v>0.5298611111111111</v>
      </c>
      <c r="C371" s="5" t="s">
        <v>137</v>
      </c>
      <c r="D371" s="12">
        <v>570000.0</v>
      </c>
      <c r="E371" s="35">
        <v>43.84</v>
      </c>
      <c r="F371" s="36">
        <v>2.49888E7</v>
      </c>
      <c r="G371" s="5"/>
      <c r="H371" s="5" t="s">
        <v>83</v>
      </c>
    </row>
    <row r="372">
      <c r="A372" s="25">
        <v>43866.0</v>
      </c>
      <c r="B372" s="34">
        <v>0.5277777777777778</v>
      </c>
      <c r="C372" s="5" t="s">
        <v>257</v>
      </c>
      <c r="D372" s="12">
        <v>296500.0</v>
      </c>
      <c r="E372" s="35">
        <v>109.19</v>
      </c>
      <c r="F372" s="36">
        <v>3.2374835E7</v>
      </c>
      <c r="G372" s="5"/>
      <c r="H372" s="5" t="s">
        <v>83</v>
      </c>
    </row>
    <row r="373">
      <c r="A373" s="25">
        <v>43866.0</v>
      </c>
      <c r="B373" s="34">
        <v>0.5270833333333333</v>
      </c>
      <c r="C373" s="5" t="s">
        <v>62</v>
      </c>
      <c r="D373" s="12">
        <v>300000.0</v>
      </c>
      <c r="E373" s="35">
        <v>179.87</v>
      </c>
      <c r="F373" s="36">
        <v>5.3961E7</v>
      </c>
      <c r="G373" s="5" t="b">
        <v>1</v>
      </c>
      <c r="H373" s="5" t="s">
        <v>85</v>
      </c>
    </row>
    <row r="374">
      <c r="A374" s="25">
        <v>43866.0</v>
      </c>
      <c r="B374" s="34">
        <v>0.5270833333333333</v>
      </c>
      <c r="C374" s="5" t="s">
        <v>112</v>
      </c>
      <c r="D374" s="12">
        <v>267601.0</v>
      </c>
      <c r="E374" s="35">
        <v>68.24</v>
      </c>
      <c r="F374" s="36">
        <v>1.826109224E7</v>
      </c>
      <c r="G374" s="5"/>
      <c r="H374" s="5" t="s">
        <v>83</v>
      </c>
    </row>
    <row r="375">
      <c r="A375" s="25">
        <v>43866.0</v>
      </c>
      <c r="B375" s="34">
        <v>0.5263888888888889</v>
      </c>
      <c r="C375" s="5" t="s">
        <v>31</v>
      </c>
      <c r="D375" s="12">
        <v>251532.0</v>
      </c>
      <c r="E375" s="35">
        <v>324.21</v>
      </c>
      <c r="F375" s="36">
        <v>8.15499191628E7</v>
      </c>
      <c r="G375" s="5" t="b">
        <v>1</v>
      </c>
      <c r="H375" s="5" t="s">
        <v>83</v>
      </c>
    </row>
    <row r="376">
      <c r="A376" s="25">
        <v>43866.0</v>
      </c>
      <c r="B376" s="34">
        <v>0.5256944444444445</v>
      </c>
      <c r="C376" s="5" t="s">
        <v>87</v>
      </c>
      <c r="D376" s="12">
        <v>250000.0</v>
      </c>
      <c r="E376" s="35">
        <v>14.6</v>
      </c>
      <c r="F376" s="36">
        <v>3650000.0</v>
      </c>
      <c r="G376" s="5"/>
      <c r="H376" s="5" t="s">
        <v>83</v>
      </c>
    </row>
    <row r="377">
      <c r="A377" s="25">
        <v>43866.0</v>
      </c>
      <c r="B377" s="34">
        <v>0.5236111111111111</v>
      </c>
      <c r="C377" s="5" t="s">
        <v>31</v>
      </c>
      <c r="D377" s="12">
        <v>503064.0</v>
      </c>
      <c r="E377" s="35">
        <v>324.21</v>
      </c>
      <c r="F377" s="36">
        <v>1.630998383256E8</v>
      </c>
      <c r="G377" s="5" t="b">
        <v>1</v>
      </c>
      <c r="H377" s="5" t="s">
        <v>83</v>
      </c>
    </row>
    <row r="378">
      <c r="A378" s="25">
        <v>43866.0</v>
      </c>
      <c r="B378" s="34">
        <v>0.5222222222222223</v>
      </c>
      <c r="C378" s="5" t="s">
        <v>270</v>
      </c>
      <c r="D378" s="12">
        <v>441000.0</v>
      </c>
      <c r="E378" s="35">
        <v>22.65</v>
      </c>
      <c r="F378" s="36">
        <v>9988650.0</v>
      </c>
      <c r="G378" s="5"/>
      <c r="H378" s="5" t="s">
        <v>83</v>
      </c>
    </row>
    <row r="379">
      <c r="A379" s="25">
        <v>43866.0</v>
      </c>
      <c r="B379" s="34">
        <v>0.5215277777777778</v>
      </c>
      <c r="C379" s="5" t="s">
        <v>171</v>
      </c>
      <c r="D379" s="12">
        <v>270000.0</v>
      </c>
      <c r="E379" s="35">
        <v>68.83</v>
      </c>
      <c r="F379" s="36">
        <v>1.85841E7</v>
      </c>
      <c r="G379" s="5"/>
      <c r="H379" s="5" t="s">
        <v>85</v>
      </c>
    </row>
    <row r="380">
      <c r="A380" s="25">
        <v>43866.0</v>
      </c>
      <c r="B380" s="34">
        <v>0.51875</v>
      </c>
      <c r="C380" s="5" t="s">
        <v>271</v>
      </c>
      <c r="D380" s="12">
        <v>185623.0</v>
      </c>
      <c r="E380" s="35">
        <v>29.82</v>
      </c>
      <c r="F380" s="36">
        <v>5535277.86</v>
      </c>
      <c r="G380" s="5"/>
      <c r="H380" s="5" t="s">
        <v>83</v>
      </c>
    </row>
    <row r="381">
      <c r="A381" s="25">
        <v>43866.0</v>
      </c>
      <c r="B381" s="34">
        <v>0.5173611111111112</v>
      </c>
      <c r="C381" s="5" t="s">
        <v>254</v>
      </c>
      <c r="D381" s="12">
        <v>150000.0</v>
      </c>
      <c r="E381" s="35">
        <v>9.82</v>
      </c>
      <c r="F381" s="36">
        <v>1473000.0</v>
      </c>
      <c r="G381" s="5"/>
      <c r="H381" s="5" t="s">
        <v>83</v>
      </c>
    </row>
    <row r="382">
      <c r="A382" s="25">
        <v>43866.0</v>
      </c>
      <c r="B382" s="34">
        <v>0.5173611111111112</v>
      </c>
      <c r="C382" s="5" t="s">
        <v>272</v>
      </c>
      <c r="D382" s="12">
        <v>310433.0</v>
      </c>
      <c r="E382" s="35">
        <v>58.79</v>
      </c>
      <c r="F382" s="36">
        <v>1.825035607E7</v>
      </c>
      <c r="G382" s="5"/>
      <c r="H382" s="5" t="s">
        <v>83</v>
      </c>
    </row>
    <row r="383">
      <c r="A383" s="25">
        <v>43866.0</v>
      </c>
      <c r="B383" s="34">
        <v>0.5166666666666667</v>
      </c>
      <c r="C383" s="5" t="s">
        <v>31</v>
      </c>
      <c r="D383" s="12">
        <v>503064.0</v>
      </c>
      <c r="E383" s="35">
        <v>324.21</v>
      </c>
      <c r="F383" s="36">
        <v>1.630998383256E8</v>
      </c>
      <c r="G383" s="5" t="b">
        <v>1</v>
      </c>
      <c r="H383" s="5" t="s">
        <v>83</v>
      </c>
    </row>
    <row r="384">
      <c r="A384" s="25">
        <v>43866.0</v>
      </c>
      <c r="B384" s="34">
        <v>0.5159722222222223</v>
      </c>
      <c r="C384" s="5" t="s">
        <v>113</v>
      </c>
      <c r="D384" s="12">
        <v>290000.0</v>
      </c>
      <c r="E384" s="35">
        <v>41.3</v>
      </c>
      <c r="F384" s="36">
        <v>1.1975695E7</v>
      </c>
      <c r="G384" s="5"/>
      <c r="H384" s="5" t="s">
        <v>85</v>
      </c>
    </row>
    <row r="385">
      <c r="A385" s="25">
        <v>43866.0</v>
      </c>
      <c r="B385" s="34">
        <v>0.5152777777777777</v>
      </c>
      <c r="C385" s="5" t="s">
        <v>139</v>
      </c>
      <c r="D385" s="12">
        <v>150000.0</v>
      </c>
      <c r="E385" s="35">
        <v>17.14</v>
      </c>
      <c r="F385" s="36">
        <v>2571000.0</v>
      </c>
      <c r="G385" s="5"/>
      <c r="H385" s="5" t="s">
        <v>83</v>
      </c>
    </row>
    <row r="386">
      <c r="A386" s="25">
        <v>43866.0</v>
      </c>
      <c r="B386" s="34">
        <v>0.5145833333333333</v>
      </c>
      <c r="C386" s="5" t="s">
        <v>266</v>
      </c>
      <c r="D386" s="12">
        <v>195792.0</v>
      </c>
      <c r="E386" s="35">
        <v>37.78</v>
      </c>
      <c r="F386" s="36">
        <v>7397021.76</v>
      </c>
      <c r="G386" s="5"/>
      <c r="H386" s="5" t="s">
        <v>83</v>
      </c>
    </row>
    <row r="387">
      <c r="A387" s="25">
        <v>43866.0</v>
      </c>
      <c r="B387" s="34">
        <v>0.5138888888888888</v>
      </c>
      <c r="C387" s="5" t="s">
        <v>171</v>
      </c>
      <c r="D387" s="12">
        <v>270000.0</v>
      </c>
      <c r="E387" s="35">
        <v>68.81</v>
      </c>
      <c r="F387" s="36">
        <v>1.8578106E7</v>
      </c>
      <c r="G387" s="5"/>
      <c r="H387" s="5" t="s">
        <v>85</v>
      </c>
    </row>
    <row r="388">
      <c r="A388" s="25">
        <v>43866.0</v>
      </c>
      <c r="B388" s="34">
        <v>0.5131944444444444</v>
      </c>
      <c r="C388" s="5" t="s">
        <v>254</v>
      </c>
      <c r="D388" s="12">
        <v>150000.0</v>
      </c>
      <c r="E388" s="35">
        <v>9.81</v>
      </c>
      <c r="F388" s="36">
        <v>1470750.0</v>
      </c>
      <c r="G388" s="5"/>
      <c r="H388" s="5" t="s">
        <v>83</v>
      </c>
    </row>
    <row r="389">
      <c r="A389" s="25">
        <v>43866.0</v>
      </c>
      <c r="B389" s="34">
        <v>0.5125</v>
      </c>
      <c r="C389" s="5" t="s">
        <v>273</v>
      </c>
      <c r="D389" s="12">
        <v>359078.0</v>
      </c>
      <c r="E389" s="35">
        <v>13.98</v>
      </c>
      <c r="F389" s="36">
        <v>5019910.44</v>
      </c>
      <c r="G389" s="5"/>
      <c r="H389" s="5" t="s">
        <v>83</v>
      </c>
    </row>
    <row r="390">
      <c r="A390" s="25">
        <v>43866.0</v>
      </c>
      <c r="B390" s="34">
        <v>0.5104166666666666</v>
      </c>
      <c r="C390" s="5" t="s">
        <v>274</v>
      </c>
      <c r="D390" s="12">
        <v>150000.0</v>
      </c>
      <c r="E390" s="35">
        <v>15.48</v>
      </c>
      <c r="F390" s="36">
        <v>2321250.0</v>
      </c>
      <c r="G390" s="5"/>
      <c r="H390" s="5" t="s">
        <v>83</v>
      </c>
    </row>
    <row r="391">
      <c r="A391" s="25">
        <v>43866.0</v>
      </c>
      <c r="B391" s="34">
        <v>0.5083333333333333</v>
      </c>
      <c r="C391" s="5" t="s">
        <v>133</v>
      </c>
      <c r="D391" s="12">
        <v>150000.0</v>
      </c>
      <c r="E391" s="35">
        <v>12.06</v>
      </c>
      <c r="F391" s="36">
        <v>1808250.0</v>
      </c>
      <c r="G391" s="5"/>
      <c r="H391" s="5" t="s">
        <v>83</v>
      </c>
    </row>
    <row r="392">
      <c r="A392" s="25">
        <v>43866.0</v>
      </c>
      <c r="B392" s="34">
        <v>0.5076388888888889</v>
      </c>
      <c r="C392" s="5" t="s">
        <v>137</v>
      </c>
      <c r="D392" s="12">
        <v>250000.0</v>
      </c>
      <c r="E392" s="35">
        <v>43.86</v>
      </c>
      <c r="F392" s="36">
        <v>1.0965E7</v>
      </c>
      <c r="G392" s="5"/>
      <c r="H392" s="5" t="s">
        <v>85</v>
      </c>
    </row>
    <row r="393">
      <c r="A393" s="25">
        <v>43866.0</v>
      </c>
      <c r="B393" s="34">
        <v>0.5076388888888889</v>
      </c>
      <c r="C393" s="5" t="s">
        <v>275</v>
      </c>
      <c r="D393" s="12">
        <v>373000.0</v>
      </c>
      <c r="E393" s="35">
        <v>62.15</v>
      </c>
      <c r="F393" s="36">
        <v>2.318195E7</v>
      </c>
      <c r="G393" s="5"/>
      <c r="H393" s="5" t="s">
        <v>83</v>
      </c>
    </row>
    <row r="394">
      <c r="A394" s="25">
        <v>43866.0</v>
      </c>
      <c r="B394" s="34">
        <v>0.5076388888888889</v>
      </c>
      <c r="C394" s="5" t="s">
        <v>276</v>
      </c>
      <c r="D394" s="12">
        <v>280000.0</v>
      </c>
      <c r="E394" s="35">
        <v>21.67</v>
      </c>
      <c r="F394" s="36">
        <v>6067600.0</v>
      </c>
      <c r="G394" s="5"/>
      <c r="H394" s="5" t="s">
        <v>83</v>
      </c>
    </row>
    <row r="395">
      <c r="A395" s="25">
        <v>43866.0</v>
      </c>
      <c r="B395" s="34">
        <v>0.5069444444444444</v>
      </c>
      <c r="C395" s="5" t="s">
        <v>137</v>
      </c>
      <c r="D395" s="12">
        <v>312000.0</v>
      </c>
      <c r="E395" s="35">
        <v>43.85</v>
      </c>
      <c r="F395" s="36">
        <v>1.36817304E7</v>
      </c>
      <c r="G395" s="5"/>
      <c r="H395" s="5" t="s">
        <v>83</v>
      </c>
    </row>
    <row r="396">
      <c r="A396" s="25">
        <v>43866.0</v>
      </c>
      <c r="B396" s="34">
        <v>0.5069444444444444</v>
      </c>
      <c r="C396" s="5" t="s">
        <v>277</v>
      </c>
      <c r="D396" s="12">
        <v>250000.0</v>
      </c>
      <c r="E396" s="35">
        <v>9.85</v>
      </c>
      <c r="F396" s="36">
        <v>2462500.0</v>
      </c>
      <c r="G396" s="5"/>
      <c r="H396" s="5" t="s">
        <v>83</v>
      </c>
    </row>
    <row r="397">
      <c r="A397" s="25">
        <v>43866.0</v>
      </c>
      <c r="B397" s="34">
        <v>0.5013888888888889</v>
      </c>
      <c r="C397" s="5" t="s">
        <v>156</v>
      </c>
      <c r="D397" s="12">
        <v>340000.0</v>
      </c>
      <c r="E397" s="35">
        <v>45.2</v>
      </c>
      <c r="F397" s="36">
        <v>1.5368E7</v>
      </c>
      <c r="G397" s="5"/>
      <c r="H397" s="5" t="s">
        <v>85</v>
      </c>
    </row>
    <row r="398">
      <c r="A398" s="25">
        <v>43866.0</v>
      </c>
      <c r="B398" s="34">
        <v>0.5006944444444444</v>
      </c>
      <c r="C398" s="5" t="s">
        <v>278</v>
      </c>
      <c r="D398" s="12">
        <v>150000.0</v>
      </c>
      <c r="E398" s="35">
        <v>36.05</v>
      </c>
      <c r="F398" s="36">
        <v>5407500.0</v>
      </c>
      <c r="G398" s="5"/>
      <c r="H398" s="5" t="s">
        <v>83</v>
      </c>
    </row>
    <row r="399">
      <c r="A399" s="25">
        <v>43866.0</v>
      </c>
      <c r="B399" s="34">
        <v>0.5</v>
      </c>
      <c r="C399" s="5" t="s">
        <v>67</v>
      </c>
      <c r="D399" s="12">
        <v>169100.0</v>
      </c>
      <c r="E399" s="35">
        <v>38.66</v>
      </c>
      <c r="F399" s="36">
        <v>6537406.0</v>
      </c>
      <c r="G399" s="5"/>
      <c r="H399" s="5" t="s">
        <v>83</v>
      </c>
    </row>
    <row r="400">
      <c r="A400" s="25">
        <v>43866.0</v>
      </c>
      <c r="B400" s="34">
        <v>0.49930555555555556</v>
      </c>
      <c r="C400" s="5" t="s">
        <v>279</v>
      </c>
      <c r="D400" s="12">
        <v>159585.0</v>
      </c>
      <c r="E400" s="35">
        <v>18.75</v>
      </c>
      <c r="F400" s="36">
        <v>2992218.75</v>
      </c>
      <c r="G400" s="5"/>
      <c r="H400" s="5" t="s">
        <v>83</v>
      </c>
    </row>
    <row r="401">
      <c r="A401" s="25">
        <v>43866.0</v>
      </c>
      <c r="B401" s="34">
        <v>0.49930555555555556</v>
      </c>
      <c r="C401" s="5" t="s">
        <v>175</v>
      </c>
      <c r="D401" s="12">
        <v>377278.0</v>
      </c>
      <c r="E401" s="35">
        <v>130.34</v>
      </c>
      <c r="F401" s="36">
        <v>4.917441452E7</v>
      </c>
      <c r="G401" s="5"/>
      <c r="H401" s="5" t="s">
        <v>83</v>
      </c>
    </row>
    <row r="402">
      <c r="A402" s="25">
        <v>43866.0</v>
      </c>
      <c r="B402" s="34">
        <v>0.4986111111111111</v>
      </c>
      <c r="C402" s="5" t="s">
        <v>280</v>
      </c>
      <c r="D402" s="12">
        <v>290700.0</v>
      </c>
      <c r="E402" s="35">
        <v>25.21</v>
      </c>
      <c r="F402" s="36">
        <v>7328198.16</v>
      </c>
      <c r="G402" s="5"/>
      <c r="H402" s="5" t="s">
        <v>85</v>
      </c>
    </row>
    <row r="403">
      <c r="A403" s="25">
        <v>43866.0</v>
      </c>
      <c r="B403" s="34">
        <v>0.4986111111111111</v>
      </c>
      <c r="C403" s="5" t="s">
        <v>281</v>
      </c>
      <c r="D403" s="12">
        <v>220000.0</v>
      </c>
      <c r="E403" s="35">
        <v>53.53</v>
      </c>
      <c r="F403" s="36">
        <v>1.1775896E7</v>
      </c>
      <c r="G403" s="5"/>
      <c r="H403" s="5" t="s">
        <v>85</v>
      </c>
    </row>
    <row r="404">
      <c r="A404" s="25">
        <v>43866.0</v>
      </c>
      <c r="B404" s="34">
        <v>0.4986111111111111</v>
      </c>
      <c r="C404" s="5" t="s">
        <v>243</v>
      </c>
      <c r="D404" s="12">
        <v>200000.0</v>
      </c>
      <c r="E404" s="35">
        <v>7.19</v>
      </c>
      <c r="F404" s="36">
        <v>1438000.0</v>
      </c>
      <c r="G404" s="5"/>
      <c r="H404" s="5" t="s">
        <v>83</v>
      </c>
    </row>
    <row r="405">
      <c r="A405" s="25">
        <v>43866.0</v>
      </c>
      <c r="B405" s="34">
        <v>0.49722222222222223</v>
      </c>
      <c r="C405" s="5" t="s">
        <v>282</v>
      </c>
      <c r="D405" s="12">
        <v>178000.0</v>
      </c>
      <c r="E405" s="35">
        <v>43.39</v>
      </c>
      <c r="F405" s="36">
        <v>7723420.0</v>
      </c>
      <c r="G405" s="5"/>
      <c r="H405" s="5" t="s">
        <v>83</v>
      </c>
    </row>
    <row r="406">
      <c r="A406" s="25">
        <v>43866.0</v>
      </c>
      <c r="B406" s="34">
        <v>0.4965277777777778</v>
      </c>
      <c r="C406" s="5" t="s">
        <v>283</v>
      </c>
      <c r="D406" s="12">
        <v>424684.0</v>
      </c>
      <c r="E406" s="35">
        <v>21.58</v>
      </c>
      <c r="F406" s="36">
        <v>9164680.72</v>
      </c>
      <c r="G406" s="5"/>
      <c r="H406" s="5" t="s">
        <v>83</v>
      </c>
    </row>
    <row r="407">
      <c r="A407" s="25">
        <v>43866.0</v>
      </c>
      <c r="B407" s="34">
        <v>0.4965277777777778</v>
      </c>
      <c r="C407" s="5" t="s">
        <v>158</v>
      </c>
      <c r="D407" s="12">
        <v>250000.0</v>
      </c>
      <c r="E407" s="35">
        <v>14.88</v>
      </c>
      <c r="F407" s="36">
        <v>3720000.0</v>
      </c>
      <c r="G407" s="5"/>
      <c r="H407" s="5" t="s">
        <v>83</v>
      </c>
    </row>
    <row r="408">
      <c r="A408" s="25">
        <v>43866.0</v>
      </c>
      <c r="B408" s="34">
        <v>0.4951388888888889</v>
      </c>
      <c r="C408" s="5" t="s">
        <v>220</v>
      </c>
      <c r="D408" s="12">
        <v>165000.0</v>
      </c>
      <c r="E408" s="35">
        <v>904.0</v>
      </c>
      <c r="F408" s="36">
        <v>1.4916E8</v>
      </c>
      <c r="G408" s="5" t="b">
        <v>1</v>
      </c>
      <c r="H408" s="5" t="s">
        <v>83</v>
      </c>
    </row>
    <row r="409">
      <c r="A409" s="25">
        <v>43866.0</v>
      </c>
      <c r="B409" s="34">
        <v>0.49236111111111114</v>
      </c>
      <c r="C409" s="5" t="s">
        <v>185</v>
      </c>
      <c r="D409" s="12">
        <v>200000.0</v>
      </c>
      <c r="E409" s="35">
        <v>7.85</v>
      </c>
      <c r="F409" s="36">
        <v>1570000.0</v>
      </c>
      <c r="G409" s="5"/>
      <c r="H409" s="5" t="s">
        <v>85</v>
      </c>
    </row>
    <row r="410">
      <c r="A410" s="25">
        <v>43866.0</v>
      </c>
      <c r="B410" s="34">
        <v>0.49236111111111114</v>
      </c>
      <c r="C410" s="5" t="s">
        <v>142</v>
      </c>
      <c r="D410" s="12">
        <v>160000.0</v>
      </c>
      <c r="E410" s="35">
        <v>34.71</v>
      </c>
      <c r="F410" s="36">
        <v>5553888.0</v>
      </c>
      <c r="G410" s="5"/>
      <c r="H410" s="5" t="s">
        <v>83</v>
      </c>
    </row>
    <row r="411">
      <c r="A411" s="25">
        <v>43866.0</v>
      </c>
      <c r="B411" s="34">
        <v>0.49236111111111114</v>
      </c>
      <c r="C411" s="5" t="s">
        <v>251</v>
      </c>
      <c r="D411" s="12">
        <v>150000.0</v>
      </c>
      <c r="E411" s="35">
        <v>16.91</v>
      </c>
      <c r="F411" s="36">
        <v>2536500.0</v>
      </c>
      <c r="G411" s="5"/>
      <c r="H411" s="5" t="s">
        <v>83</v>
      </c>
    </row>
    <row r="412">
      <c r="A412" s="25">
        <v>43866.0</v>
      </c>
      <c r="B412" s="34">
        <v>0.49166666666666664</v>
      </c>
      <c r="C412" s="5" t="s">
        <v>284</v>
      </c>
      <c r="D412" s="12">
        <v>236010.0</v>
      </c>
      <c r="E412" s="35">
        <v>17.37</v>
      </c>
      <c r="F412" s="36">
        <v>4099493.7</v>
      </c>
      <c r="G412" s="5"/>
      <c r="H412" s="5" t="s">
        <v>83</v>
      </c>
    </row>
    <row r="413">
      <c r="A413" s="25">
        <v>43866.0</v>
      </c>
      <c r="B413" s="34">
        <v>0.4909722222222222</v>
      </c>
      <c r="C413" s="5" t="s">
        <v>285</v>
      </c>
      <c r="D413" s="12">
        <v>325193.0</v>
      </c>
      <c r="E413" s="35">
        <v>5.23</v>
      </c>
      <c r="F413" s="36">
        <v>1700759.39</v>
      </c>
      <c r="G413" s="5"/>
      <c r="H413" s="5" t="s">
        <v>83</v>
      </c>
    </row>
    <row r="414">
      <c r="A414" s="25">
        <v>43866.0</v>
      </c>
      <c r="B414" s="34">
        <v>0.4895833333333333</v>
      </c>
      <c r="C414" s="5" t="s">
        <v>286</v>
      </c>
      <c r="D414" s="12">
        <v>482444.0</v>
      </c>
      <c r="E414" s="35">
        <v>27.94</v>
      </c>
      <c r="F414" s="36">
        <v>1.347948536E7</v>
      </c>
      <c r="G414" s="5"/>
      <c r="H414" s="5" t="s">
        <v>83</v>
      </c>
    </row>
    <row r="415">
      <c r="A415" s="25">
        <v>43866.0</v>
      </c>
      <c r="B415" s="34">
        <v>0.4895833333333333</v>
      </c>
      <c r="C415" s="5" t="s">
        <v>272</v>
      </c>
      <c r="D415" s="12">
        <v>310433.0</v>
      </c>
      <c r="E415" s="35">
        <v>58.69</v>
      </c>
      <c r="F415" s="36">
        <v>1.82180089514E7</v>
      </c>
      <c r="G415" s="5"/>
      <c r="H415" s="5" t="s">
        <v>83</v>
      </c>
    </row>
    <row r="416">
      <c r="A416" s="25">
        <v>43866.0</v>
      </c>
      <c r="B416" s="34">
        <v>0.4895833333333333</v>
      </c>
      <c r="C416" s="5" t="s">
        <v>272</v>
      </c>
      <c r="D416" s="12">
        <v>310433.0</v>
      </c>
      <c r="E416" s="35">
        <v>58.79</v>
      </c>
      <c r="F416" s="36">
        <v>1.825035607E7</v>
      </c>
      <c r="G416" s="5"/>
      <c r="H416" s="5" t="s">
        <v>83</v>
      </c>
    </row>
    <row r="417">
      <c r="A417" s="25">
        <v>43866.0</v>
      </c>
      <c r="B417" s="34">
        <v>0.48680555555555555</v>
      </c>
      <c r="C417" s="5" t="s">
        <v>175</v>
      </c>
      <c r="D417" s="12">
        <v>300000.0</v>
      </c>
      <c r="E417" s="35">
        <v>130.36</v>
      </c>
      <c r="F417" s="36">
        <v>3.9108E7</v>
      </c>
      <c r="G417" s="5"/>
      <c r="H417" s="5" t="s">
        <v>83</v>
      </c>
    </row>
    <row r="418">
      <c r="A418" s="25">
        <v>43866.0</v>
      </c>
      <c r="B418" s="34">
        <v>0.4861111111111111</v>
      </c>
      <c r="C418" s="5" t="s">
        <v>288</v>
      </c>
      <c r="D418" s="12">
        <v>195600.0</v>
      </c>
      <c r="E418" s="35">
        <v>13.35</v>
      </c>
      <c r="F418" s="36">
        <v>2610282.0</v>
      </c>
      <c r="G418" s="5"/>
      <c r="H418" s="5" t="s">
        <v>83</v>
      </c>
    </row>
    <row r="419">
      <c r="A419" s="25">
        <v>43866.0</v>
      </c>
      <c r="B419" s="34">
        <v>0.4861111111111111</v>
      </c>
      <c r="C419" s="5" t="s">
        <v>289</v>
      </c>
      <c r="D419" s="12">
        <v>150000.0</v>
      </c>
      <c r="E419" s="35">
        <v>52.01</v>
      </c>
      <c r="F419" s="36">
        <v>7801290.0</v>
      </c>
      <c r="G419" s="5"/>
      <c r="H419" s="5" t="s">
        <v>83</v>
      </c>
    </row>
    <row r="420">
      <c r="A420" s="25">
        <v>43866.0</v>
      </c>
      <c r="B420" s="34">
        <v>0.4840277777777778</v>
      </c>
      <c r="C420" s="5" t="s">
        <v>63</v>
      </c>
      <c r="D420" s="12">
        <v>283333.0</v>
      </c>
      <c r="E420" s="35">
        <v>36.84</v>
      </c>
      <c r="F420" s="36">
        <v>1.04380727199E7</v>
      </c>
      <c r="G420" s="5"/>
      <c r="H420" s="5" t="s">
        <v>83</v>
      </c>
    </row>
    <row r="421">
      <c r="A421" s="25">
        <v>43866.0</v>
      </c>
      <c r="B421" s="34">
        <v>0.4826388888888889</v>
      </c>
      <c r="C421" s="5" t="s">
        <v>47</v>
      </c>
      <c r="D421" s="12">
        <v>430000.0</v>
      </c>
      <c r="E421" s="35">
        <v>30.69</v>
      </c>
      <c r="F421" s="36">
        <v>1.31967E7</v>
      </c>
      <c r="G421" s="5"/>
      <c r="H421" s="5" t="s">
        <v>85</v>
      </c>
    </row>
    <row r="422">
      <c r="A422" s="25">
        <v>43866.0</v>
      </c>
      <c r="B422" s="34">
        <v>0.4826388888888889</v>
      </c>
      <c r="C422" s="5" t="s">
        <v>123</v>
      </c>
      <c r="D422" s="12">
        <v>250000.0</v>
      </c>
      <c r="E422" s="35">
        <v>27.56</v>
      </c>
      <c r="F422" s="36">
        <v>6888750.0</v>
      </c>
      <c r="G422" s="5"/>
      <c r="H422" s="5" t="s">
        <v>83</v>
      </c>
    </row>
    <row r="423">
      <c r="A423" s="25">
        <v>43866.0</v>
      </c>
      <c r="B423" s="34">
        <v>0.48194444444444445</v>
      </c>
      <c r="C423" s="5" t="s">
        <v>291</v>
      </c>
      <c r="D423" s="12">
        <v>153700.0</v>
      </c>
      <c r="E423" s="35">
        <v>88.57</v>
      </c>
      <c r="F423" s="36">
        <v>1.3613209E7</v>
      </c>
      <c r="G423" s="5"/>
      <c r="H423" s="5" t="s">
        <v>83</v>
      </c>
    </row>
    <row r="424">
      <c r="A424" s="25">
        <v>43866.0</v>
      </c>
      <c r="B424" s="34">
        <v>0.48194444444444445</v>
      </c>
      <c r="C424" s="5" t="s">
        <v>292</v>
      </c>
      <c r="D424" s="12">
        <v>1034330.0</v>
      </c>
      <c r="E424" s="35">
        <v>68.55</v>
      </c>
      <c r="F424" s="36">
        <v>7.09033215E7</v>
      </c>
      <c r="G424" s="5" t="b">
        <v>1</v>
      </c>
      <c r="H424" s="5" t="s">
        <v>83</v>
      </c>
    </row>
    <row r="425">
      <c r="A425" s="25">
        <v>43866.0</v>
      </c>
      <c r="B425" s="34">
        <v>0.4798611111111111</v>
      </c>
      <c r="C425" s="5" t="s">
        <v>293</v>
      </c>
      <c r="D425" s="12">
        <v>589921.0</v>
      </c>
      <c r="E425" s="35">
        <v>156.0</v>
      </c>
      <c r="F425" s="36">
        <v>9.2027676E7</v>
      </c>
      <c r="G425" s="5" t="b">
        <v>1</v>
      </c>
      <c r="H425" s="5" t="s">
        <v>83</v>
      </c>
    </row>
    <row r="426">
      <c r="A426" s="25">
        <v>43866.0</v>
      </c>
      <c r="B426" s="34">
        <v>0.47847222222222224</v>
      </c>
      <c r="C426" s="5" t="s">
        <v>294</v>
      </c>
      <c r="D426" s="12">
        <v>630210.0</v>
      </c>
      <c r="E426" s="35">
        <v>28.08</v>
      </c>
      <c r="F426" s="36">
        <v>1.76962968E7</v>
      </c>
      <c r="G426" s="5"/>
      <c r="H426" s="5" t="s">
        <v>83</v>
      </c>
    </row>
    <row r="427">
      <c r="A427" s="25">
        <v>43866.0</v>
      </c>
      <c r="B427" s="34">
        <v>0.47847222222222224</v>
      </c>
      <c r="C427" s="5" t="s">
        <v>295</v>
      </c>
      <c r="D427" s="12">
        <v>286700.0</v>
      </c>
      <c r="E427" s="35">
        <v>5.15</v>
      </c>
      <c r="F427" s="36">
        <v>1476505.0</v>
      </c>
      <c r="G427" s="5"/>
      <c r="H427" s="5" t="s">
        <v>83</v>
      </c>
    </row>
    <row r="428">
      <c r="A428" s="25">
        <v>43866.0</v>
      </c>
      <c r="B428" s="34">
        <v>0.47708333333333336</v>
      </c>
      <c r="C428" s="5" t="s">
        <v>296</v>
      </c>
      <c r="D428" s="12">
        <v>468000.0</v>
      </c>
      <c r="E428" s="35">
        <v>79.7</v>
      </c>
      <c r="F428" s="36">
        <v>3.72996E7</v>
      </c>
      <c r="G428" s="5"/>
      <c r="H428" s="5" t="s">
        <v>85</v>
      </c>
    </row>
    <row r="429">
      <c r="A429" s="25">
        <v>43866.0</v>
      </c>
      <c r="B429" s="34">
        <v>0.47708333333333336</v>
      </c>
      <c r="C429" s="5" t="s">
        <v>170</v>
      </c>
      <c r="D429" s="12">
        <v>336000.0</v>
      </c>
      <c r="E429" s="35">
        <v>144.0</v>
      </c>
      <c r="F429" s="36">
        <v>4.8384E7</v>
      </c>
      <c r="G429" s="5"/>
      <c r="H429" s="5" t="s">
        <v>83</v>
      </c>
    </row>
    <row r="430">
      <c r="A430" s="25">
        <v>43866.0</v>
      </c>
      <c r="B430" s="34">
        <v>0.47638888888888886</v>
      </c>
      <c r="C430" s="5" t="s">
        <v>278</v>
      </c>
      <c r="D430" s="12">
        <v>200000.0</v>
      </c>
      <c r="E430" s="35">
        <v>36.05</v>
      </c>
      <c r="F430" s="36">
        <v>7210000.0</v>
      </c>
      <c r="G430" s="5"/>
      <c r="H430" s="5" t="s">
        <v>83</v>
      </c>
    </row>
    <row r="431">
      <c r="A431" s="25">
        <v>43866.0</v>
      </c>
      <c r="B431" s="34">
        <v>0.47638888888888886</v>
      </c>
      <c r="C431" s="5" t="s">
        <v>298</v>
      </c>
      <c r="D431" s="12">
        <v>193792.0</v>
      </c>
      <c r="E431" s="35">
        <v>88.55</v>
      </c>
      <c r="F431" s="36">
        <v>1.71602816E7</v>
      </c>
      <c r="G431" s="5"/>
      <c r="H431" s="5" t="s">
        <v>83</v>
      </c>
    </row>
    <row r="432">
      <c r="A432" s="25">
        <v>43866.0</v>
      </c>
      <c r="B432" s="34">
        <v>0.4756944444444444</v>
      </c>
      <c r="C432" s="5" t="s">
        <v>273</v>
      </c>
      <c r="D432" s="12">
        <v>330100.0</v>
      </c>
      <c r="E432" s="35">
        <v>13.95</v>
      </c>
      <c r="F432" s="36">
        <v>4604895.0</v>
      </c>
      <c r="G432" s="5"/>
      <c r="H432" s="5" t="s">
        <v>83</v>
      </c>
    </row>
    <row r="433">
      <c r="A433" s="25">
        <v>43866.0</v>
      </c>
      <c r="B433" s="34">
        <v>0.4756944444444444</v>
      </c>
      <c r="C433" s="5" t="s">
        <v>299</v>
      </c>
      <c r="D433" s="12">
        <v>500000.0</v>
      </c>
      <c r="E433" s="35">
        <v>9.6</v>
      </c>
      <c r="F433" s="36">
        <v>4800000.0</v>
      </c>
      <c r="G433" s="5"/>
      <c r="H433" s="5" t="s">
        <v>83</v>
      </c>
    </row>
    <row r="434">
      <c r="A434" s="25">
        <v>43866.0</v>
      </c>
      <c r="B434" s="34">
        <v>0.475</v>
      </c>
      <c r="C434" s="5" t="s">
        <v>300</v>
      </c>
      <c r="D434" s="12">
        <v>1000000.0</v>
      </c>
      <c r="E434" s="35">
        <v>41.88</v>
      </c>
      <c r="F434" s="36">
        <v>4.188E7</v>
      </c>
      <c r="G434" s="5"/>
      <c r="H434" s="5" t="s">
        <v>85</v>
      </c>
    </row>
    <row r="435">
      <c r="A435" s="25">
        <v>43866.0</v>
      </c>
      <c r="B435" s="34">
        <v>0.475</v>
      </c>
      <c r="C435" s="5" t="s">
        <v>301</v>
      </c>
      <c r="D435" s="12">
        <v>150000.0</v>
      </c>
      <c r="E435" s="35">
        <v>41.8</v>
      </c>
      <c r="F435" s="36">
        <v>6270000.0</v>
      </c>
      <c r="G435" s="5"/>
      <c r="H435" s="5" t="s">
        <v>83</v>
      </c>
    </row>
    <row r="436">
      <c r="A436" s="25">
        <v>43866.0</v>
      </c>
      <c r="B436" s="34">
        <v>0.47430555555555554</v>
      </c>
      <c r="C436" s="5" t="s">
        <v>150</v>
      </c>
      <c r="D436" s="12">
        <v>455100.0</v>
      </c>
      <c r="E436" s="35">
        <v>128.17</v>
      </c>
      <c r="F436" s="36">
        <v>5.8330167E7</v>
      </c>
      <c r="G436" s="5" t="b">
        <v>1</v>
      </c>
      <c r="H436" s="5" t="s">
        <v>83</v>
      </c>
    </row>
    <row r="437">
      <c r="A437" s="25">
        <v>43866.0</v>
      </c>
      <c r="B437" s="34">
        <v>0.47430555555555554</v>
      </c>
      <c r="C437" s="5" t="s">
        <v>303</v>
      </c>
      <c r="D437" s="12">
        <v>270507.0</v>
      </c>
      <c r="E437" s="35">
        <v>13.35</v>
      </c>
      <c r="F437" s="36">
        <v>3611268.45</v>
      </c>
      <c r="G437" s="5"/>
      <c r="H437" s="5" t="s">
        <v>83</v>
      </c>
    </row>
    <row r="438">
      <c r="A438" s="25">
        <v>43866.0</v>
      </c>
      <c r="B438" s="34">
        <v>0.47430555555555554</v>
      </c>
      <c r="C438" s="5" t="s">
        <v>303</v>
      </c>
      <c r="D438" s="12">
        <v>398527.0</v>
      </c>
      <c r="E438" s="35">
        <v>13.35</v>
      </c>
      <c r="F438" s="36">
        <v>5320335.45</v>
      </c>
      <c r="G438" s="5"/>
      <c r="H438" s="5" t="s">
        <v>83</v>
      </c>
    </row>
    <row r="439">
      <c r="A439" s="25">
        <v>43866.0</v>
      </c>
      <c r="B439" s="34">
        <v>0.47152777777777777</v>
      </c>
      <c r="C439" s="5" t="s">
        <v>109</v>
      </c>
      <c r="D439" s="12">
        <v>240700.0</v>
      </c>
      <c r="E439" s="35">
        <v>19.43</v>
      </c>
      <c r="F439" s="36">
        <v>4676801.0</v>
      </c>
      <c r="G439" s="5"/>
      <c r="H439" s="5" t="s">
        <v>83</v>
      </c>
    </row>
    <row r="440">
      <c r="A440" s="25">
        <v>43866.0</v>
      </c>
      <c r="B440" s="34">
        <v>0.46805555555555556</v>
      </c>
      <c r="C440" s="5" t="s">
        <v>44</v>
      </c>
      <c r="D440" s="12">
        <v>172588.0</v>
      </c>
      <c r="E440" s="35">
        <v>11.91</v>
      </c>
      <c r="F440" s="36">
        <v>2055523.08</v>
      </c>
      <c r="G440" s="5"/>
      <c r="H440" s="5" t="s">
        <v>83</v>
      </c>
    </row>
    <row r="441">
      <c r="A441" s="25">
        <v>43866.0</v>
      </c>
      <c r="B441" s="34">
        <v>0.46597222222222223</v>
      </c>
      <c r="C441" s="5" t="s">
        <v>304</v>
      </c>
      <c r="D441" s="12">
        <v>400000.0</v>
      </c>
      <c r="E441" s="35">
        <v>10.43</v>
      </c>
      <c r="F441" s="36">
        <v>4172000.0</v>
      </c>
      <c r="G441" s="5"/>
      <c r="H441" s="5" t="s">
        <v>83</v>
      </c>
    </row>
    <row r="442">
      <c r="A442" s="25">
        <v>43866.0</v>
      </c>
      <c r="B442" s="34">
        <v>0.4652777777777778</v>
      </c>
      <c r="C442" s="5" t="s">
        <v>74</v>
      </c>
      <c r="D442" s="12">
        <v>200000.0</v>
      </c>
      <c r="E442" s="35">
        <v>13.96</v>
      </c>
      <c r="F442" s="36">
        <v>2791000.0</v>
      </c>
      <c r="G442" s="5"/>
      <c r="H442" s="5" t="s">
        <v>83</v>
      </c>
    </row>
    <row r="443">
      <c r="A443" s="25">
        <v>43866.0</v>
      </c>
      <c r="B443" s="34">
        <v>0.4652777777777778</v>
      </c>
      <c r="C443" s="5" t="s">
        <v>305</v>
      </c>
      <c r="D443" s="12">
        <v>158000.0</v>
      </c>
      <c r="E443" s="35">
        <v>43.8</v>
      </c>
      <c r="F443" s="36">
        <v>6920400.0</v>
      </c>
      <c r="G443" s="5"/>
      <c r="H443" s="5" t="s">
        <v>83</v>
      </c>
    </row>
    <row r="444">
      <c r="A444" s="25">
        <v>43866.0</v>
      </c>
      <c r="B444" s="34">
        <v>0.4638888888888889</v>
      </c>
      <c r="C444" s="5" t="s">
        <v>234</v>
      </c>
      <c r="D444" s="12">
        <v>252080.0</v>
      </c>
      <c r="E444" s="35">
        <v>23.61</v>
      </c>
      <c r="F444" s="36">
        <v>5950902.976</v>
      </c>
      <c r="G444" s="5"/>
      <c r="H444" s="5" t="s">
        <v>83</v>
      </c>
    </row>
    <row r="445">
      <c r="A445" s="25">
        <v>43866.0</v>
      </c>
      <c r="B445" s="34">
        <v>0.4638888888888889</v>
      </c>
      <c r="C445" s="5" t="s">
        <v>306</v>
      </c>
      <c r="D445" s="12">
        <v>267919.0</v>
      </c>
      <c r="E445" s="35">
        <v>29.91</v>
      </c>
      <c r="F445" s="36">
        <v>8013457.29</v>
      </c>
      <c r="G445" s="5"/>
      <c r="H445" s="5" t="s">
        <v>83</v>
      </c>
    </row>
    <row r="446">
      <c r="A446" s="25">
        <v>43866.0</v>
      </c>
      <c r="B446" s="34">
        <v>0.4618055555555556</v>
      </c>
      <c r="C446" s="5" t="s">
        <v>89</v>
      </c>
      <c r="D446" s="12">
        <v>1414422.0</v>
      </c>
      <c r="E446" s="35">
        <v>8.14</v>
      </c>
      <c r="F446" s="36">
        <v>1.151339508E7</v>
      </c>
      <c r="G446" s="5"/>
      <c r="H446" s="5" t="s">
        <v>83</v>
      </c>
    </row>
    <row r="447">
      <c r="A447" s="25">
        <v>43866.0</v>
      </c>
      <c r="B447" s="34">
        <v>0.46111111111111114</v>
      </c>
      <c r="C447" s="5" t="s">
        <v>283</v>
      </c>
      <c r="D447" s="12">
        <v>150000.0</v>
      </c>
      <c r="E447" s="35">
        <v>21.63</v>
      </c>
      <c r="F447" s="36">
        <v>3243750.0</v>
      </c>
      <c r="G447" s="5"/>
      <c r="H447" s="5" t="s">
        <v>83</v>
      </c>
    </row>
    <row r="448">
      <c r="A448" s="25">
        <v>43866.0</v>
      </c>
      <c r="B448" s="34">
        <v>0.46111111111111114</v>
      </c>
      <c r="C448" s="5" t="s">
        <v>224</v>
      </c>
      <c r="D448" s="12">
        <v>594800.0</v>
      </c>
      <c r="E448" s="35">
        <v>27.52</v>
      </c>
      <c r="F448" s="36">
        <v>1.6368896E7</v>
      </c>
      <c r="G448" s="5"/>
      <c r="H448" s="5" t="s">
        <v>83</v>
      </c>
    </row>
    <row r="449">
      <c r="A449" s="25">
        <v>43866.0</v>
      </c>
      <c r="B449" s="34">
        <v>0.46041666666666664</v>
      </c>
      <c r="C449" s="5" t="s">
        <v>84</v>
      </c>
      <c r="D449" s="12">
        <v>250000.0</v>
      </c>
      <c r="E449" s="35">
        <v>87.57</v>
      </c>
      <c r="F449" s="36">
        <v>2.18925E7</v>
      </c>
      <c r="G449" s="5"/>
      <c r="H449" s="5" t="s">
        <v>83</v>
      </c>
    </row>
    <row r="450">
      <c r="A450" s="25">
        <v>43866.0</v>
      </c>
      <c r="B450" s="34">
        <v>0.45902777777777776</v>
      </c>
      <c r="C450" s="5" t="s">
        <v>144</v>
      </c>
      <c r="D450" s="12">
        <v>368188.0</v>
      </c>
      <c r="E450" s="35">
        <v>43.45</v>
      </c>
      <c r="F450" s="36">
        <v>1.59977686E7</v>
      </c>
      <c r="G450" s="5"/>
      <c r="H450" s="5" t="s">
        <v>83</v>
      </c>
    </row>
    <row r="451">
      <c r="A451" s="25">
        <v>43866.0</v>
      </c>
      <c r="B451" s="34">
        <v>0.45694444444444443</v>
      </c>
      <c r="C451" s="5" t="s">
        <v>293</v>
      </c>
      <c r="D451" s="12">
        <v>294860.0</v>
      </c>
      <c r="E451" s="35">
        <v>156.25</v>
      </c>
      <c r="F451" s="36">
        <v>4.6071226308E7</v>
      </c>
      <c r="G451" s="5"/>
      <c r="H451" s="5" t="s">
        <v>85</v>
      </c>
    </row>
    <row r="452">
      <c r="A452" s="25">
        <v>43866.0</v>
      </c>
      <c r="B452" s="34">
        <v>0.4548611111111111</v>
      </c>
      <c r="C452" s="5" t="s">
        <v>175</v>
      </c>
      <c r="D452" s="12">
        <v>1917100.0</v>
      </c>
      <c r="E452" s="35">
        <v>130.27</v>
      </c>
      <c r="F452" s="36">
        <v>2.49740617E8</v>
      </c>
      <c r="G452" s="5" t="b">
        <v>1</v>
      </c>
      <c r="H452" s="5" t="s">
        <v>83</v>
      </c>
    </row>
    <row r="453">
      <c r="A453" s="25">
        <v>43866.0</v>
      </c>
      <c r="B453" s="34">
        <v>0.4534722222222222</v>
      </c>
      <c r="C453" s="5" t="s">
        <v>167</v>
      </c>
      <c r="D453" s="12">
        <v>298147.0</v>
      </c>
      <c r="E453" s="35">
        <v>33.42</v>
      </c>
      <c r="F453" s="36">
        <v>9964072.74</v>
      </c>
      <c r="G453" s="5"/>
      <c r="H453" s="5" t="s">
        <v>83</v>
      </c>
    </row>
    <row r="454">
      <c r="A454" s="25">
        <v>43866.0</v>
      </c>
      <c r="B454" s="34">
        <v>0.4527777777777778</v>
      </c>
      <c r="C454" s="5" t="s">
        <v>307</v>
      </c>
      <c r="D454" s="12">
        <v>257177.0</v>
      </c>
      <c r="E454" s="35">
        <v>8.33</v>
      </c>
      <c r="F454" s="36">
        <v>2142232.9746</v>
      </c>
      <c r="G454" s="5"/>
      <c r="H454" s="5" t="s">
        <v>83</v>
      </c>
    </row>
    <row r="455">
      <c r="A455" s="25">
        <v>43866.0</v>
      </c>
      <c r="B455" s="34">
        <v>0.45</v>
      </c>
      <c r="C455" s="5" t="s">
        <v>84</v>
      </c>
      <c r="D455" s="12">
        <v>300000.0</v>
      </c>
      <c r="E455" s="35">
        <v>87.57</v>
      </c>
      <c r="F455" s="36">
        <v>2.6271E7</v>
      </c>
      <c r="G455" s="5"/>
      <c r="H455" s="5" t="s">
        <v>83</v>
      </c>
    </row>
    <row r="456">
      <c r="A456" s="25">
        <v>43866.0</v>
      </c>
      <c r="B456" s="34">
        <v>0.45</v>
      </c>
      <c r="C456" s="5" t="s">
        <v>309</v>
      </c>
      <c r="D456" s="12">
        <v>172727.0</v>
      </c>
      <c r="E456" s="35">
        <v>22.9</v>
      </c>
      <c r="F456" s="36">
        <v>3955793.754</v>
      </c>
      <c r="G456" s="5"/>
      <c r="H456" s="5" t="s">
        <v>83</v>
      </c>
    </row>
    <row r="457">
      <c r="A457" s="25">
        <v>43866.0</v>
      </c>
      <c r="B457" s="34">
        <v>0.4479166666666667</v>
      </c>
      <c r="C457" s="5" t="s">
        <v>219</v>
      </c>
      <c r="D457" s="12">
        <v>245005.0</v>
      </c>
      <c r="E457" s="35">
        <v>48.99</v>
      </c>
      <c r="F457" s="36">
        <v>1.200279495E7</v>
      </c>
      <c r="G457" s="5"/>
      <c r="H457" s="5" t="s">
        <v>83</v>
      </c>
    </row>
    <row r="458">
      <c r="A458" s="25">
        <v>43866.0</v>
      </c>
      <c r="B458" s="34">
        <v>0.4465277777777778</v>
      </c>
      <c r="C458" s="5" t="s">
        <v>219</v>
      </c>
      <c r="D458" s="12">
        <v>245005.0</v>
      </c>
      <c r="E458" s="35">
        <v>48.99</v>
      </c>
      <c r="F458" s="36">
        <v>1.200279495E7</v>
      </c>
      <c r="G458" s="5"/>
      <c r="H458" s="5" t="s">
        <v>83</v>
      </c>
    </row>
    <row r="459">
      <c r="A459" s="25">
        <v>43866.0</v>
      </c>
      <c r="B459" s="34">
        <v>0.4465277777777778</v>
      </c>
      <c r="C459" s="5" t="s">
        <v>219</v>
      </c>
      <c r="D459" s="12">
        <v>245005.0</v>
      </c>
      <c r="E459" s="35">
        <v>48.99</v>
      </c>
      <c r="F459" s="36">
        <v>1.200279495E7</v>
      </c>
      <c r="G459" s="5"/>
      <c r="H459" s="5" t="s">
        <v>83</v>
      </c>
    </row>
    <row r="460">
      <c r="A460" s="25">
        <v>43866.0</v>
      </c>
      <c r="B460" s="34">
        <v>0.44583333333333336</v>
      </c>
      <c r="C460" s="5" t="s">
        <v>219</v>
      </c>
      <c r="D460" s="12">
        <v>245005.0</v>
      </c>
      <c r="E460" s="35">
        <v>48.99</v>
      </c>
      <c r="F460" s="36">
        <v>1.200279495E7</v>
      </c>
      <c r="G460" s="5"/>
      <c r="H460" s="5" t="s">
        <v>83</v>
      </c>
    </row>
    <row r="461">
      <c r="A461" s="25">
        <v>43866.0</v>
      </c>
      <c r="B461" s="34">
        <v>0.44583333333333336</v>
      </c>
      <c r="C461" s="5" t="s">
        <v>219</v>
      </c>
      <c r="D461" s="12">
        <v>245005.0</v>
      </c>
      <c r="E461" s="35">
        <v>48.99</v>
      </c>
      <c r="F461" s="36">
        <v>1.200279495E7</v>
      </c>
      <c r="G461" s="5"/>
      <c r="H461" s="5" t="s">
        <v>83</v>
      </c>
    </row>
    <row r="462">
      <c r="A462" s="25">
        <v>43866.0</v>
      </c>
      <c r="B462" s="34">
        <v>0.44375</v>
      </c>
      <c r="C462" s="5" t="s">
        <v>123</v>
      </c>
      <c r="D462" s="12">
        <v>400000.0</v>
      </c>
      <c r="E462" s="35">
        <v>27.52</v>
      </c>
      <c r="F462" s="36">
        <v>1.1006E7</v>
      </c>
      <c r="G462" s="5"/>
      <c r="H462" s="5" t="s">
        <v>83</v>
      </c>
    </row>
    <row r="463">
      <c r="A463" s="25">
        <v>43866.0</v>
      </c>
      <c r="B463" s="34">
        <v>0.44305555555555554</v>
      </c>
      <c r="C463" s="5" t="s">
        <v>47</v>
      </c>
      <c r="D463" s="12">
        <v>520000.0</v>
      </c>
      <c r="E463" s="35">
        <v>30.67</v>
      </c>
      <c r="F463" s="36">
        <v>1.59484E7</v>
      </c>
      <c r="G463" s="5"/>
      <c r="H463" s="5" t="s">
        <v>83</v>
      </c>
    </row>
    <row r="464">
      <c r="A464" s="25">
        <v>43866.0</v>
      </c>
      <c r="B464" s="34">
        <v>0.44305555555555554</v>
      </c>
      <c r="C464" s="5" t="s">
        <v>31</v>
      </c>
      <c r="D464" s="12">
        <v>776696.0</v>
      </c>
      <c r="E464" s="35">
        <v>324.21</v>
      </c>
      <c r="F464" s="36">
        <v>2.518139305432E8</v>
      </c>
      <c r="G464" s="5" t="b">
        <v>1</v>
      </c>
      <c r="H464" s="5" t="s">
        <v>83</v>
      </c>
    </row>
    <row r="465">
      <c r="A465" s="25">
        <v>43866.0</v>
      </c>
      <c r="B465" s="34">
        <v>0.44027777777777777</v>
      </c>
      <c r="C465" s="5" t="s">
        <v>311</v>
      </c>
      <c r="D465" s="12">
        <v>183760.0</v>
      </c>
      <c r="E465" s="35">
        <v>20.34</v>
      </c>
      <c r="F465" s="36">
        <v>3737678.4</v>
      </c>
      <c r="G465" s="5"/>
      <c r="H465" s="5" t="s">
        <v>83</v>
      </c>
    </row>
    <row r="466">
      <c r="A466" s="25">
        <v>43866.0</v>
      </c>
      <c r="B466" s="34">
        <v>0.4395833333333333</v>
      </c>
      <c r="C466" s="5" t="s">
        <v>312</v>
      </c>
      <c r="D466" s="12">
        <v>157740.0</v>
      </c>
      <c r="E466" s="35">
        <v>10.26</v>
      </c>
      <c r="F466" s="36">
        <v>1617623.7</v>
      </c>
      <c r="G466" s="5"/>
      <c r="H466" s="5" t="s">
        <v>83</v>
      </c>
    </row>
    <row r="467">
      <c r="A467" s="25">
        <v>43866.0</v>
      </c>
      <c r="B467" s="34">
        <v>0.4388888888888889</v>
      </c>
      <c r="C467" s="5" t="s">
        <v>160</v>
      </c>
      <c r="D467" s="12">
        <v>161100.0</v>
      </c>
      <c r="E467" s="35">
        <v>16.88</v>
      </c>
      <c r="F467" s="36">
        <v>2718562.5</v>
      </c>
      <c r="G467" s="5"/>
      <c r="H467" s="5" t="s">
        <v>83</v>
      </c>
    </row>
    <row r="468">
      <c r="A468" s="25">
        <v>43866.0</v>
      </c>
      <c r="B468" s="34">
        <v>0.4388888888888889</v>
      </c>
      <c r="C468" s="5" t="s">
        <v>314</v>
      </c>
      <c r="D468" s="12">
        <v>203500.0</v>
      </c>
      <c r="E468" s="35">
        <v>58.87</v>
      </c>
      <c r="F468" s="36">
        <v>1.1980045E7</v>
      </c>
      <c r="G468" s="5"/>
      <c r="H468" s="5" t="s">
        <v>83</v>
      </c>
    </row>
    <row r="469">
      <c r="A469" s="25">
        <v>43866.0</v>
      </c>
      <c r="B469" s="34">
        <v>0.43819444444444444</v>
      </c>
      <c r="C469" s="5" t="s">
        <v>315</v>
      </c>
      <c r="D469" s="12">
        <v>300000.0</v>
      </c>
      <c r="E469" s="35">
        <v>81.45</v>
      </c>
      <c r="F469" s="36">
        <v>2.4435E7</v>
      </c>
      <c r="G469" s="5"/>
      <c r="H469" s="5" t="s">
        <v>83</v>
      </c>
    </row>
    <row r="470">
      <c r="A470" s="25">
        <v>43866.0</v>
      </c>
      <c r="B470" s="34">
        <v>0.43819444444444444</v>
      </c>
      <c r="C470" s="5" t="s">
        <v>62</v>
      </c>
      <c r="D470" s="12">
        <v>150000.0</v>
      </c>
      <c r="E470" s="35">
        <v>178.71</v>
      </c>
      <c r="F470" s="36">
        <v>2.680575E7</v>
      </c>
      <c r="G470" s="5"/>
      <c r="H470" s="5" t="s">
        <v>85</v>
      </c>
    </row>
    <row r="471">
      <c r="A471" s="25">
        <v>43866.0</v>
      </c>
      <c r="B471" s="34">
        <v>0.4375</v>
      </c>
      <c r="C471" s="5" t="s">
        <v>316</v>
      </c>
      <c r="D471" s="12">
        <v>245000.0</v>
      </c>
      <c r="E471" s="35">
        <v>16.86</v>
      </c>
      <c r="F471" s="36">
        <v>4130700.0</v>
      </c>
      <c r="G471" s="5"/>
      <c r="H471" s="5" t="s">
        <v>83</v>
      </c>
    </row>
    <row r="472">
      <c r="A472" s="25">
        <v>43866.0</v>
      </c>
      <c r="B472" s="34">
        <v>0.43680555555555556</v>
      </c>
      <c r="C472" s="5" t="s">
        <v>317</v>
      </c>
      <c r="D472" s="12">
        <v>228362.0</v>
      </c>
      <c r="E472" s="35">
        <v>21.5</v>
      </c>
      <c r="F472" s="36">
        <v>4909783.0</v>
      </c>
      <c r="G472" s="5"/>
      <c r="H472" s="5" t="s">
        <v>83</v>
      </c>
    </row>
    <row r="473">
      <c r="A473" s="25">
        <v>43866.0</v>
      </c>
      <c r="B473" s="34">
        <v>0.4361111111111111</v>
      </c>
      <c r="C473" s="5" t="s">
        <v>318</v>
      </c>
      <c r="D473" s="12">
        <v>482700.0</v>
      </c>
      <c r="E473" s="35">
        <v>17.26</v>
      </c>
      <c r="F473" s="36">
        <v>8331402.0</v>
      </c>
      <c r="G473" s="5"/>
      <c r="H473" s="5" t="s">
        <v>83</v>
      </c>
    </row>
    <row r="474">
      <c r="A474" s="25">
        <v>43866.0</v>
      </c>
      <c r="B474" s="34">
        <v>0.4340277777777778</v>
      </c>
      <c r="C474" s="5" t="s">
        <v>319</v>
      </c>
      <c r="D474" s="12">
        <v>282900.0</v>
      </c>
      <c r="E474" s="35">
        <v>13.33</v>
      </c>
      <c r="F474" s="36">
        <v>3771057.0</v>
      </c>
      <c r="G474" s="5"/>
      <c r="H474" s="5" t="s">
        <v>83</v>
      </c>
    </row>
    <row r="475">
      <c r="A475" s="25">
        <v>43866.0</v>
      </c>
      <c r="B475" s="34">
        <v>0.4326388888888889</v>
      </c>
      <c r="C475" s="5" t="s">
        <v>293</v>
      </c>
      <c r="D475" s="12">
        <v>250000.0</v>
      </c>
      <c r="E475" s="35">
        <v>155.75</v>
      </c>
      <c r="F475" s="36">
        <v>3.89375E7</v>
      </c>
      <c r="G475" s="5"/>
      <c r="H475" s="5" t="s">
        <v>83</v>
      </c>
    </row>
    <row r="476">
      <c r="A476" s="25">
        <v>43866.0</v>
      </c>
      <c r="B476" s="34">
        <v>0.43194444444444446</v>
      </c>
      <c r="C476" s="5" t="s">
        <v>277</v>
      </c>
      <c r="D476" s="12">
        <v>250000.0</v>
      </c>
      <c r="E476" s="35">
        <v>9.77</v>
      </c>
      <c r="F476" s="36">
        <v>2442500.0</v>
      </c>
      <c r="G476" s="5"/>
      <c r="H476" s="5" t="s">
        <v>83</v>
      </c>
    </row>
    <row r="477">
      <c r="A477" s="25">
        <v>43866.0</v>
      </c>
      <c r="B477" s="34">
        <v>0.43194444444444446</v>
      </c>
      <c r="C477" s="5" t="s">
        <v>214</v>
      </c>
      <c r="D477" s="12">
        <v>479600.0</v>
      </c>
      <c r="E477" s="35">
        <v>19.13</v>
      </c>
      <c r="F477" s="36">
        <v>9172350.0</v>
      </c>
      <c r="G477" s="5"/>
      <c r="H477" s="5" t="s">
        <v>83</v>
      </c>
    </row>
    <row r="478">
      <c r="A478" s="25">
        <v>43866.0</v>
      </c>
      <c r="B478" s="34">
        <v>0.43194444444444446</v>
      </c>
      <c r="C478" s="5" t="s">
        <v>251</v>
      </c>
      <c r="D478" s="12">
        <v>150000.0</v>
      </c>
      <c r="E478" s="35">
        <v>16.78</v>
      </c>
      <c r="F478" s="36">
        <v>2517000.0</v>
      </c>
      <c r="G478" s="5"/>
      <c r="H478" s="5" t="s">
        <v>83</v>
      </c>
    </row>
    <row r="479">
      <c r="A479" s="25">
        <v>43866.0</v>
      </c>
      <c r="B479" s="34">
        <v>0.43125</v>
      </c>
      <c r="C479" s="5" t="s">
        <v>321</v>
      </c>
      <c r="D479" s="12">
        <v>924100.0</v>
      </c>
      <c r="E479" s="35">
        <v>21.13</v>
      </c>
      <c r="F479" s="36">
        <v>1.9526233E7</v>
      </c>
      <c r="G479" s="5"/>
      <c r="H479" s="5" t="s">
        <v>83</v>
      </c>
    </row>
    <row r="480">
      <c r="A480" s="25">
        <v>43866.0</v>
      </c>
      <c r="B480" s="34">
        <v>0.43125</v>
      </c>
      <c r="C480" s="5" t="s">
        <v>56</v>
      </c>
      <c r="D480" s="12">
        <v>760000.0</v>
      </c>
      <c r="E480" s="35">
        <v>53.62</v>
      </c>
      <c r="F480" s="36">
        <v>4.07512E7</v>
      </c>
      <c r="G480" s="5"/>
      <c r="H480" s="5" t="s">
        <v>83</v>
      </c>
    </row>
    <row r="481">
      <c r="A481" s="25">
        <v>43866.0</v>
      </c>
      <c r="B481" s="34">
        <v>0.4305555555555556</v>
      </c>
      <c r="C481" s="5" t="s">
        <v>277</v>
      </c>
      <c r="D481" s="12">
        <v>150000.0</v>
      </c>
      <c r="E481" s="35">
        <v>9.75</v>
      </c>
      <c r="F481" s="36">
        <v>1462500.0</v>
      </c>
      <c r="G481" s="5"/>
      <c r="H481" s="5" t="s">
        <v>83</v>
      </c>
    </row>
    <row r="482">
      <c r="A482" s="25">
        <v>43866.0</v>
      </c>
      <c r="B482" s="34">
        <v>0.42986111111111114</v>
      </c>
      <c r="C482" s="5" t="s">
        <v>278</v>
      </c>
      <c r="D482" s="12">
        <v>150000.0</v>
      </c>
      <c r="E482" s="35">
        <v>36.0</v>
      </c>
      <c r="F482" s="36">
        <v>5400000.0</v>
      </c>
      <c r="G482" s="5"/>
      <c r="H482" s="5" t="s">
        <v>83</v>
      </c>
    </row>
    <row r="483">
      <c r="A483" s="25">
        <v>43866.0</v>
      </c>
      <c r="B483" s="34">
        <v>0.42916666666666664</v>
      </c>
      <c r="C483" s="5" t="s">
        <v>277</v>
      </c>
      <c r="D483" s="12">
        <v>150000.0</v>
      </c>
      <c r="E483" s="35">
        <v>9.75</v>
      </c>
      <c r="F483" s="36">
        <v>1462500.0</v>
      </c>
      <c r="G483" s="5"/>
      <c r="H483" s="5" t="s">
        <v>83</v>
      </c>
    </row>
    <row r="484">
      <c r="A484" s="25">
        <v>43866.0</v>
      </c>
      <c r="B484" s="34">
        <v>0.42916666666666664</v>
      </c>
      <c r="C484" s="5" t="s">
        <v>324</v>
      </c>
      <c r="D484" s="12">
        <v>196500.0</v>
      </c>
      <c r="E484" s="35">
        <v>62.14</v>
      </c>
      <c r="F484" s="36">
        <v>1.22095275E7</v>
      </c>
      <c r="G484" s="5"/>
      <c r="H484" s="5" t="s">
        <v>83</v>
      </c>
    </row>
    <row r="485">
      <c r="A485" s="25">
        <v>43866.0</v>
      </c>
      <c r="B485" s="34">
        <v>0.42916666666666664</v>
      </c>
      <c r="C485" s="5" t="s">
        <v>277</v>
      </c>
      <c r="D485" s="12">
        <v>200000.0</v>
      </c>
      <c r="E485" s="35">
        <v>9.75</v>
      </c>
      <c r="F485" s="36">
        <v>1950000.0</v>
      </c>
      <c r="G485" s="5"/>
      <c r="H485" s="5" t="s">
        <v>83</v>
      </c>
    </row>
    <row r="486">
      <c r="A486" s="25">
        <v>43866.0</v>
      </c>
      <c r="B486" s="34">
        <v>0.4284722222222222</v>
      </c>
      <c r="C486" s="5" t="s">
        <v>325</v>
      </c>
      <c r="D486" s="12">
        <v>271000.0</v>
      </c>
      <c r="E486" s="35">
        <v>42.3</v>
      </c>
      <c r="F486" s="36">
        <v>1.14633E7</v>
      </c>
      <c r="G486" s="5"/>
      <c r="H486" s="5" t="s">
        <v>83</v>
      </c>
    </row>
    <row r="487">
      <c r="A487" s="25">
        <v>43866.0</v>
      </c>
      <c r="B487" s="34">
        <v>0.4284722222222222</v>
      </c>
      <c r="C487" s="5" t="s">
        <v>212</v>
      </c>
      <c r="D487" s="12">
        <v>250000.0</v>
      </c>
      <c r="E487" s="35">
        <v>59.08</v>
      </c>
      <c r="F487" s="36">
        <v>1.477E7</v>
      </c>
      <c r="G487" s="5"/>
      <c r="H487" s="5" t="s">
        <v>83</v>
      </c>
    </row>
    <row r="488">
      <c r="A488" s="25">
        <v>43866.0</v>
      </c>
      <c r="B488" s="34">
        <v>0.4263888888888889</v>
      </c>
      <c r="C488" s="5" t="s">
        <v>178</v>
      </c>
      <c r="D488" s="12">
        <v>371000.0</v>
      </c>
      <c r="E488" s="35">
        <v>24.44</v>
      </c>
      <c r="F488" s="36">
        <v>9065385.0</v>
      </c>
      <c r="G488" s="5"/>
      <c r="H488" s="5" t="s">
        <v>83</v>
      </c>
    </row>
    <row r="489">
      <c r="A489" s="25">
        <v>43866.0</v>
      </c>
      <c r="B489" s="34">
        <v>0.4263888888888889</v>
      </c>
      <c r="C489" s="5" t="s">
        <v>330</v>
      </c>
      <c r="D489" s="12">
        <v>569300.0</v>
      </c>
      <c r="E489" s="35">
        <v>15.7</v>
      </c>
      <c r="F489" s="36">
        <v>8938010.0</v>
      </c>
      <c r="G489" s="5"/>
      <c r="H489" s="5" t="s">
        <v>83</v>
      </c>
    </row>
    <row r="490">
      <c r="A490" s="25">
        <v>43866.0</v>
      </c>
      <c r="B490" s="34">
        <v>0.42569444444444443</v>
      </c>
      <c r="C490" s="5" t="s">
        <v>333</v>
      </c>
      <c r="D490" s="12">
        <v>1000100.0</v>
      </c>
      <c r="E490" s="35">
        <v>13.98</v>
      </c>
      <c r="F490" s="36">
        <v>1.3981398E7</v>
      </c>
      <c r="G490" s="5"/>
      <c r="H490" s="5" t="s">
        <v>83</v>
      </c>
    </row>
    <row r="491">
      <c r="A491" s="25">
        <v>43866.0</v>
      </c>
      <c r="B491" s="34">
        <v>0.42569444444444443</v>
      </c>
      <c r="C491" s="5" t="s">
        <v>336</v>
      </c>
      <c r="D491" s="12">
        <v>1814800.0</v>
      </c>
      <c r="E491" s="35">
        <v>12.31</v>
      </c>
      <c r="F491" s="36">
        <v>2.2340188E7</v>
      </c>
      <c r="G491" s="5"/>
      <c r="H491" s="5" t="s">
        <v>83</v>
      </c>
    </row>
    <row r="492">
      <c r="A492" s="25">
        <v>43866.0</v>
      </c>
      <c r="B492" s="34">
        <v>0.42569444444444443</v>
      </c>
      <c r="C492" s="5" t="s">
        <v>106</v>
      </c>
      <c r="D492" s="12">
        <v>165000.0</v>
      </c>
      <c r="E492" s="35">
        <v>7.55</v>
      </c>
      <c r="F492" s="36">
        <v>1245750.0</v>
      </c>
      <c r="G492" s="5"/>
      <c r="H492" s="5" t="s">
        <v>83</v>
      </c>
    </row>
    <row r="493">
      <c r="A493" s="25">
        <v>43866.0</v>
      </c>
      <c r="B493" s="34">
        <v>0.425</v>
      </c>
      <c r="C493" s="5" t="s">
        <v>272</v>
      </c>
      <c r="D493" s="12">
        <v>200000.0</v>
      </c>
      <c r="E493" s="35">
        <v>58.86</v>
      </c>
      <c r="F493" s="36">
        <v>1.1772E7</v>
      </c>
      <c r="G493" s="5"/>
      <c r="H493" s="5" t="s">
        <v>83</v>
      </c>
    </row>
    <row r="494">
      <c r="A494" s="25">
        <v>43866.0</v>
      </c>
      <c r="B494" s="34">
        <v>0.4236111111111111</v>
      </c>
      <c r="C494" s="5" t="s">
        <v>340</v>
      </c>
      <c r="D494" s="12">
        <v>634391.0</v>
      </c>
      <c r="E494" s="35">
        <v>16.0</v>
      </c>
      <c r="F494" s="36">
        <v>1.0150256E7</v>
      </c>
      <c r="G494" s="5"/>
      <c r="H494" s="5" t="s">
        <v>83</v>
      </c>
    </row>
    <row r="495">
      <c r="A495" s="25">
        <v>43866.0</v>
      </c>
      <c r="B495" s="34">
        <v>0.42291666666666666</v>
      </c>
      <c r="C495" s="5" t="s">
        <v>175</v>
      </c>
      <c r="D495" s="12">
        <v>556100.0</v>
      </c>
      <c r="E495" s="35">
        <v>130.32</v>
      </c>
      <c r="F495" s="36">
        <v>7.2470952E7</v>
      </c>
      <c r="G495" s="5" t="b">
        <v>1</v>
      </c>
      <c r="H495" s="5" t="s">
        <v>83</v>
      </c>
    </row>
    <row r="496">
      <c r="A496" s="25">
        <v>43866.0</v>
      </c>
      <c r="B496" s="34">
        <v>0.42291666666666666</v>
      </c>
      <c r="C496" s="5" t="s">
        <v>158</v>
      </c>
      <c r="D496" s="12">
        <v>500000.0</v>
      </c>
      <c r="E496" s="35">
        <v>14.85</v>
      </c>
      <c r="F496" s="36">
        <v>7425000.0</v>
      </c>
      <c r="G496" s="5"/>
      <c r="H496" s="5" t="s">
        <v>83</v>
      </c>
    </row>
    <row r="497">
      <c r="A497" s="25">
        <v>43866.0</v>
      </c>
      <c r="B497" s="34">
        <v>0.4222222222222222</v>
      </c>
      <c r="C497" s="5" t="s">
        <v>189</v>
      </c>
      <c r="D497" s="12">
        <v>440000.0</v>
      </c>
      <c r="E497" s="35">
        <v>102.01</v>
      </c>
      <c r="F497" s="36">
        <v>4.48844E7</v>
      </c>
      <c r="G497" s="5"/>
      <c r="H497" s="5" t="s">
        <v>83</v>
      </c>
    </row>
    <row r="498">
      <c r="A498" s="25">
        <v>43866.0</v>
      </c>
      <c r="B498" s="34">
        <v>0.4215277777777778</v>
      </c>
      <c r="C498" s="5" t="s">
        <v>44</v>
      </c>
      <c r="D498" s="12">
        <v>264929.0</v>
      </c>
      <c r="E498" s="35">
        <v>11.95</v>
      </c>
      <c r="F498" s="36">
        <v>3165901.55</v>
      </c>
      <c r="G498" s="5"/>
      <c r="H498" s="5" t="s">
        <v>83</v>
      </c>
    </row>
    <row r="499">
      <c r="A499" s="25">
        <v>43866.0</v>
      </c>
      <c r="B499" s="34">
        <v>0.4215277777777778</v>
      </c>
      <c r="C499" s="5" t="s">
        <v>272</v>
      </c>
      <c r="D499" s="12">
        <v>269000.0</v>
      </c>
      <c r="E499" s="35">
        <v>58.86</v>
      </c>
      <c r="F499" s="36">
        <v>1.583334E7</v>
      </c>
      <c r="G499" s="5"/>
      <c r="H499" s="5" t="s">
        <v>83</v>
      </c>
    </row>
    <row r="500">
      <c r="A500" s="25">
        <v>43866.0</v>
      </c>
      <c r="B500" s="34">
        <v>0.4215277777777778</v>
      </c>
      <c r="C500" s="5" t="s">
        <v>137</v>
      </c>
      <c r="D500" s="12">
        <v>572000.0</v>
      </c>
      <c r="E500" s="35">
        <v>43.71</v>
      </c>
      <c r="F500" s="36">
        <v>2.500212E7</v>
      </c>
      <c r="G500" s="5"/>
      <c r="H500" s="5" t="s">
        <v>83</v>
      </c>
    </row>
    <row r="501">
      <c r="A501" s="25">
        <v>43866.0</v>
      </c>
      <c r="B501" s="34">
        <v>0.42083333333333334</v>
      </c>
      <c r="C501" s="5" t="s">
        <v>31</v>
      </c>
      <c r="D501" s="12">
        <v>258873.0</v>
      </c>
      <c r="E501" s="35">
        <v>324.21</v>
      </c>
      <c r="F501" s="36">
        <v>8.39296554141E7</v>
      </c>
      <c r="G501" s="5" t="b">
        <v>1</v>
      </c>
      <c r="H501" s="5" t="s">
        <v>83</v>
      </c>
    </row>
    <row r="502">
      <c r="A502" s="25">
        <v>43866.0</v>
      </c>
      <c r="B502" s="34">
        <v>0.42083333333333334</v>
      </c>
      <c r="C502" s="5" t="s">
        <v>349</v>
      </c>
      <c r="D502" s="12">
        <v>200000.0</v>
      </c>
      <c r="E502" s="35">
        <v>22.47</v>
      </c>
      <c r="F502" s="36">
        <v>4494000.0</v>
      </c>
      <c r="G502" s="5"/>
      <c r="H502" s="5" t="s">
        <v>85</v>
      </c>
    </row>
    <row r="503">
      <c r="A503" s="25">
        <v>43866.0</v>
      </c>
      <c r="B503" s="34">
        <v>0.4201388888888889</v>
      </c>
      <c r="C503" s="5" t="s">
        <v>273</v>
      </c>
      <c r="D503" s="12">
        <v>250000.0</v>
      </c>
      <c r="E503" s="35">
        <v>13.92</v>
      </c>
      <c r="F503" s="36">
        <v>3480000.0</v>
      </c>
      <c r="G503" s="5"/>
      <c r="H503" s="5" t="s">
        <v>83</v>
      </c>
    </row>
    <row r="504">
      <c r="A504" s="25">
        <v>43866.0</v>
      </c>
      <c r="B504" s="34">
        <v>0.4201388888888889</v>
      </c>
      <c r="C504" s="5" t="s">
        <v>257</v>
      </c>
      <c r="D504" s="12">
        <v>252049.0</v>
      </c>
      <c r="E504" s="35">
        <v>109.05</v>
      </c>
      <c r="F504" s="36">
        <v>2.748594345E7</v>
      </c>
      <c r="G504" s="5"/>
      <c r="H504" s="5" t="s">
        <v>83</v>
      </c>
    </row>
    <row r="505">
      <c r="A505" s="25">
        <v>43866.0</v>
      </c>
      <c r="B505" s="34">
        <v>0.41944444444444445</v>
      </c>
      <c r="C505" s="5" t="s">
        <v>137</v>
      </c>
      <c r="D505" s="12">
        <v>525000.0</v>
      </c>
      <c r="E505" s="35">
        <v>43.75</v>
      </c>
      <c r="F505" s="36">
        <v>2.29690125E7</v>
      </c>
      <c r="G505" s="5"/>
      <c r="H505" s="5" t="s">
        <v>83</v>
      </c>
    </row>
    <row r="506">
      <c r="A506" s="25">
        <v>43866.0</v>
      </c>
      <c r="B506" s="34">
        <v>0.41875</v>
      </c>
      <c r="C506" s="5" t="s">
        <v>156</v>
      </c>
      <c r="D506" s="12">
        <v>1020000.0</v>
      </c>
      <c r="E506" s="35">
        <v>45.1</v>
      </c>
      <c r="F506" s="36">
        <v>4.6002E7</v>
      </c>
      <c r="G506" s="5"/>
      <c r="H506" s="5" t="s">
        <v>85</v>
      </c>
    </row>
    <row r="507">
      <c r="A507" s="25">
        <v>43866.0</v>
      </c>
      <c r="B507" s="34">
        <v>0.41805555555555557</v>
      </c>
      <c r="C507" s="5" t="s">
        <v>354</v>
      </c>
      <c r="D507" s="12">
        <v>317800.0</v>
      </c>
      <c r="E507" s="35">
        <v>288.42</v>
      </c>
      <c r="F507" s="36">
        <v>9.1659876E7</v>
      </c>
      <c r="G507" s="5" t="b">
        <v>1</v>
      </c>
      <c r="H507" s="5" t="s">
        <v>83</v>
      </c>
    </row>
    <row r="508">
      <c r="A508" s="25">
        <v>43866.0</v>
      </c>
      <c r="B508" s="34">
        <v>0.4173611111111111</v>
      </c>
      <c r="C508" s="5" t="s">
        <v>358</v>
      </c>
      <c r="D508" s="12">
        <v>200000.0</v>
      </c>
      <c r="E508" s="35">
        <v>21.81</v>
      </c>
      <c r="F508" s="36">
        <v>4361000.0</v>
      </c>
      <c r="G508" s="5"/>
      <c r="H508" s="5" t="s">
        <v>83</v>
      </c>
    </row>
    <row r="509">
      <c r="A509" s="25">
        <v>43866.0</v>
      </c>
      <c r="B509" s="34">
        <v>0.4173611111111111</v>
      </c>
      <c r="C509" s="5" t="s">
        <v>176</v>
      </c>
      <c r="D509" s="12">
        <v>180000.0</v>
      </c>
      <c r="E509" s="35">
        <v>9.35</v>
      </c>
      <c r="F509" s="36">
        <v>1683000.0</v>
      </c>
      <c r="G509" s="5"/>
      <c r="H509" s="5" t="s">
        <v>83</v>
      </c>
    </row>
    <row r="510">
      <c r="A510" s="25">
        <v>43866.0</v>
      </c>
      <c r="B510" s="34">
        <v>0.4173611111111111</v>
      </c>
      <c r="C510" s="5" t="s">
        <v>262</v>
      </c>
      <c r="D510" s="12">
        <v>199000.0</v>
      </c>
      <c r="E510" s="35">
        <v>22.92</v>
      </c>
      <c r="F510" s="36">
        <v>4561080.0</v>
      </c>
      <c r="G510" s="5"/>
      <c r="H510" s="5" t="s">
        <v>83</v>
      </c>
    </row>
    <row r="511">
      <c r="A511" s="25">
        <v>43866.0</v>
      </c>
      <c r="B511" s="34">
        <v>0.4152777777777778</v>
      </c>
      <c r="C511" s="5" t="s">
        <v>363</v>
      </c>
      <c r="D511" s="12">
        <v>167618.0</v>
      </c>
      <c r="E511" s="35">
        <v>22.0</v>
      </c>
      <c r="F511" s="36">
        <v>3687596.0</v>
      </c>
      <c r="G511" s="5"/>
      <c r="H511" s="5" t="s">
        <v>83</v>
      </c>
    </row>
    <row r="512">
      <c r="A512" s="25">
        <v>43866.0</v>
      </c>
      <c r="B512" s="34">
        <v>0.41388888888888886</v>
      </c>
      <c r="C512" s="5" t="s">
        <v>273</v>
      </c>
      <c r="D512" s="12">
        <v>250000.0</v>
      </c>
      <c r="E512" s="35">
        <v>13.92</v>
      </c>
      <c r="F512" s="36">
        <v>3480000.0</v>
      </c>
      <c r="G512" s="5"/>
      <c r="H512" s="5" t="s">
        <v>83</v>
      </c>
    </row>
    <row r="513">
      <c r="A513" s="25">
        <v>43866.0</v>
      </c>
      <c r="B513" s="34">
        <v>0.4131944444444444</v>
      </c>
      <c r="C513" s="5" t="s">
        <v>364</v>
      </c>
      <c r="D513" s="12">
        <v>272356.0</v>
      </c>
      <c r="E513" s="35">
        <v>157.5</v>
      </c>
      <c r="F513" s="36">
        <v>4.289607E7</v>
      </c>
      <c r="G513" s="5"/>
      <c r="H513" s="5" t="s">
        <v>83</v>
      </c>
    </row>
    <row r="514">
      <c r="A514" s="25">
        <v>43866.0</v>
      </c>
      <c r="B514" s="34">
        <v>0.4131944444444444</v>
      </c>
      <c r="C514" s="5" t="s">
        <v>365</v>
      </c>
      <c r="D514" s="12">
        <v>197800.0</v>
      </c>
      <c r="E514" s="35">
        <v>20.0</v>
      </c>
      <c r="F514" s="36">
        <v>3955802.2</v>
      </c>
      <c r="G514" s="5"/>
      <c r="H514" s="5" t="s">
        <v>83</v>
      </c>
    </row>
    <row r="515">
      <c r="A515" s="25">
        <v>43866.0</v>
      </c>
      <c r="B515" s="34">
        <v>0.4125</v>
      </c>
      <c r="C515" s="5" t="s">
        <v>276</v>
      </c>
      <c r="D515" s="12">
        <v>250000.0</v>
      </c>
      <c r="E515" s="35">
        <v>21.79</v>
      </c>
      <c r="F515" s="36">
        <v>5447500.0</v>
      </c>
      <c r="G515" s="5"/>
      <c r="H515" s="5" t="s">
        <v>83</v>
      </c>
    </row>
    <row r="516">
      <c r="A516" s="25">
        <v>43866.0</v>
      </c>
      <c r="B516" s="34">
        <v>0.4125</v>
      </c>
      <c r="C516" s="5" t="s">
        <v>90</v>
      </c>
      <c r="D516" s="12">
        <v>430649.0</v>
      </c>
      <c r="E516" s="35">
        <v>9.15</v>
      </c>
      <c r="F516" s="36">
        <v>3938285.105</v>
      </c>
      <c r="G516" s="5"/>
      <c r="H516" s="5" t="s">
        <v>83</v>
      </c>
    </row>
    <row r="517">
      <c r="A517" s="25">
        <v>43866.0</v>
      </c>
      <c r="B517" s="34">
        <v>0.4125</v>
      </c>
      <c r="C517" s="5" t="s">
        <v>31</v>
      </c>
      <c r="D517" s="12">
        <v>297785.0</v>
      </c>
      <c r="E517" s="35">
        <v>328.82</v>
      </c>
      <c r="F517" s="36">
        <v>9.79176637E7</v>
      </c>
      <c r="G517" s="5" t="b">
        <v>1</v>
      </c>
      <c r="H517" s="5" t="s">
        <v>83</v>
      </c>
    </row>
    <row r="518">
      <c r="A518" s="25">
        <v>43866.0</v>
      </c>
      <c r="B518" s="34">
        <v>0.4125</v>
      </c>
      <c r="C518" s="5" t="s">
        <v>160</v>
      </c>
      <c r="D518" s="12">
        <v>166752.0</v>
      </c>
      <c r="E518" s="35">
        <v>17.0</v>
      </c>
      <c r="F518" s="36">
        <v>2834784.0</v>
      </c>
      <c r="G518" s="5"/>
      <c r="H518" s="5" t="s">
        <v>83</v>
      </c>
    </row>
    <row r="519">
      <c r="A519" s="25">
        <v>43866.0</v>
      </c>
      <c r="B519" s="34">
        <v>0.41180555555555554</v>
      </c>
      <c r="C519" s="5" t="s">
        <v>82</v>
      </c>
      <c r="D519" s="12">
        <v>300000.0</v>
      </c>
      <c r="E519" s="35">
        <v>5.97</v>
      </c>
      <c r="F519" s="36">
        <v>1791000.0</v>
      </c>
      <c r="G519" s="5"/>
      <c r="H519" s="5" t="s">
        <v>83</v>
      </c>
    </row>
    <row r="520">
      <c r="A520" s="25">
        <v>43866.0</v>
      </c>
      <c r="B520" s="34">
        <v>0.41180555555555554</v>
      </c>
      <c r="C520" s="5" t="s">
        <v>288</v>
      </c>
      <c r="D520" s="12">
        <v>360000.0</v>
      </c>
      <c r="E520" s="35">
        <v>13.25</v>
      </c>
      <c r="F520" s="36">
        <v>4768200.0</v>
      </c>
      <c r="G520" s="5"/>
      <c r="H520" s="5" t="s">
        <v>83</v>
      </c>
    </row>
    <row r="521">
      <c r="A521" s="25">
        <v>43866.0</v>
      </c>
      <c r="B521" s="34">
        <v>0.4111111111111111</v>
      </c>
      <c r="C521" s="5" t="s">
        <v>366</v>
      </c>
      <c r="D521" s="12">
        <v>500000.0</v>
      </c>
      <c r="E521" s="35">
        <v>12.9</v>
      </c>
      <c r="F521" s="36">
        <v>6450000.0</v>
      </c>
      <c r="G521" s="5"/>
      <c r="H521" s="5" t="s">
        <v>83</v>
      </c>
    </row>
    <row r="522">
      <c r="A522" s="25">
        <v>43866.0</v>
      </c>
      <c r="B522" s="34">
        <v>0.4097222222222222</v>
      </c>
      <c r="C522" s="5" t="s">
        <v>283</v>
      </c>
      <c r="D522" s="12">
        <v>200000.0</v>
      </c>
      <c r="E522" s="35">
        <v>21.63</v>
      </c>
      <c r="F522" s="36">
        <v>4326000.0</v>
      </c>
      <c r="G522" s="5"/>
      <c r="H522" s="5" t="s">
        <v>83</v>
      </c>
    </row>
    <row r="523">
      <c r="A523" s="25">
        <v>43866.0</v>
      </c>
      <c r="B523" s="34">
        <v>0.4097222222222222</v>
      </c>
      <c r="C523" s="5" t="s">
        <v>367</v>
      </c>
      <c r="D523" s="12">
        <v>230888.0</v>
      </c>
      <c r="E523" s="35">
        <v>203.49</v>
      </c>
      <c r="F523" s="36">
        <v>4.698339912E7</v>
      </c>
      <c r="G523" s="5"/>
      <c r="H523" s="5" t="s">
        <v>83</v>
      </c>
    </row>
    <row r="524">
      <c r="A524" s="25">
        <v>43866.0</v>
      </c>
      <c r="B524" s="34">
        <v>0.4097222222222222</v>
      </c>
      <c r="C524" s="5" t="s">
        <v>368</v>
      </c>
      <c r="D524" s="12">
        <v>307641.0</v>
      </c>
      <c r="E524" s="35">
        <v>151.45</v>
      </c>
      <c r="F524" s="36">
        <v>4.659222945E7</v>
      </c>
      <c r="G524" s="5"/>
      <c r="H524" s="5" t="s">
        <v>83</v>
      </c>
    </row>
    <row r="525">
      <c r="A525" s="25">
        <v>43866.0</v>
      </c>
      <c r="B525" s="34">
        <v>0.4097222222222222</v>
      </c>
      <c r="C525" s="5" t="s">
        <v>369</v>
      </c>
      <c r="D525" s="12">
        <v>263481.0</v>
      </c>
      <c r="E525" s="35">
        <v>70.45</v>
      </c>
      <c r="F525" s="36">
        <v>1.856223645E7</v>
      </c>
      <c r="G525" s="5"/>
      <c r="H525" s="5" t="s">
        <v>83</v>
      </c>
    </row>
    <row r="526">
      <c r="A526" s="25">
        <v>43866.0</v>
      </c>
      <c r="B526" s="34">
        <v>0.4097222222222222</v>
      </c>
      <c r="C526" s="5" t="s">
        <v>177</v>
      </c>
      <c r="D526" s="12">
        <v>322518.0</v>
      </c>
      <c r="E526" s="35">
        <v>88.5</v>
      </c>
      <c r="F526" s="36">
        <v>2.8542843E7</v>
      </c>
      <c r="G526" s="5"/>
      <c r="H526" s="5" t="s">
        <v>83</v>
      </c>
    </row>
    <row r="527">
      <c r="A527" s="25">
        <v>43866.0</v>
      </c>
      <c r="B527" s="34">
        <v>0.4097222222222222</v>
      </c>
      <c r="C527" s="5" t="s">
        <v>266</v>
      </c>
      <c r="D527" s="12">
        <v>2263673.0</v>
      </c>
      <c r="E527" s="35">
        <v>38.05</v>
      </c>
      <c r="F527" s="36">
        <v>8.613275765E7</v>
      </c>
      <c r="G527" s="5" t="b">
        <v>1</v>
      </c>
      <c r="H527" s="5" t="s">
        <v>83</v>
      </c>
    </row>
    <row r="528">
      <c r="A528" s="25">
        <v>43866.0</v>
      </c>
      <c r="B528" s="34">
        <v>0.4097222222222222</v>
      </c>
      <c r="C528" s="5" t="s">
        <v>62</v>
      </c>
      <c r="D528" s="12">
        <v>2184870.0</v>
      </c>
      <c r="E528" s="35">
        <v>177.17</v>
      </c>
      <c r="F528" s="36">
        <v>3.870934179E8</v>
      </c>
      <c r="G528" s="5" t="b">
        <v>1</v>
      </c>
      <c r="H528" s="5" t="s">
        <v>83</v>
      </c>
    </row>
    <row r="529">
      <c r="A529" s="25">
        <v>43866.0</v>
      </c>
      <c r="B529" s="34">
        <v>0.4097222222222222</v>
      </c>
      <c r="C529" s="5" t="s">
        <v>370</v>
      </c>
      <c r="D529" s="12">
        <v>167243.0</v>
      </c>
      <c r="E529" s="35">
        <v>216.11</v>
      </c>
      <c r="F529" s="36">
        <v>3.614288473E7</v>
      </c>
      <c r="G529" s="5"/>
      <c r="H529" s="5" t="s">
        <v>83</v>
      </c>
    </row>
    <row r="530">
      <c r="A530" s="25">
        <v>43866.0</v>
      </c>
      <c r="B530" s="34">
        <v>0.4097222222222222</v>
      </c>
      <c r="C530" s="5" t="s">
        <v>371</v>
      </c>
      <c r="D530" s="12">
        <v>1086547.0</v>
      </c>
      <c r="E530" s="35">
        <v>118.81</v>
      </c>
      <c r="F530" s="36">
        <v>1.2909264907E8</v>
      </c>
      <c r="G530" s="5" t="b">
        <v>1</v>
      </c>
      <c r="H530" s="5" t="s">
        <v>83</v>
      </c>
    </row>
    <row r="531">
      <c r="A531" s="25">
        <v>43866.0</v>
      </c>
      <c r="B531" s="34">
        <v>0.4097222222222222</v>
      </c>
      <c r="C531" s="5" t="s">
        <v>372</v>
      </c>
      <c r="D531" s="12">
        <v>338996.0</v>
      </c>
      <c r="E531" s="35">
        <v>29.5</v>
      </c>
      <c r="F531" s="36">
        <v>1.0000382E7</v>
      </c>
      <c r="G531" s="5"/>
      <c r="H531" s="5" t="s">
        <v>83</v>
      </c>
    </row>
    <row r="532">
      <c r="A532" s="25">
        <v>43866.0</v>
      </c>
      <c r="B532" s="34">
        <v>0.4097222222222222</v>
      </c>
      <c r="C532" s="5" t="s">
        <v>344</v>
      </c>
      <c r="D532" s="12">
        <v>517671.0</v>
      </c>
      <c r="E532" s="35">
        <v>151.49</v>
      </c>
      <c r="F532" s="36">
        <v>7.842197979E7</v>
      </c>
      <c r="G532" s="5" t="b">
        <v>1</v>
      </c>
      <c r="H532" s="5" t="s">
        <v>83</v>
      </c>
    </row>
    <row r="533">
      <c r="A533" s="25">
        <v>43866.0</v>
      </c>
      <c r="B533" s="34">
        <v>0.4097222222222222</v>
      </c>
      <c r="C533" s="5" t="s">
        <v>373</v>
      </c>
      <c r="D533" s="12">
        <v>362646.0</v>
      </c>
      <c r="E533" s="35">
        <v>174.08</v>
      </c>
      <c r="F533" s="36">
        <v>6.312941568E7</v>
      </c>
      <c r="G533" s="5" t="b">
        <v>1</v>
      </c>
      <c r="H533" s="5" t="s">
        <v>83</v>
      </c>
    </row>
    <row r="534">
      <c r="A534" s="25">
        <v>43866.0</v>
      </c>
      <c r="B534" s="34">
        <v>0.4097222222222222</v>
      </c>
      <c r="C534" s="5" t="s">
        <v>90</v>
      </c>
      <c r="D534" s="12">
        <v>506352.0</v>
      </c>
      <c r="E534" s="35">
        <v>9.08</v>
      </c>
      <c r="F534" s="36">
        <v>4597676.16</v>
      </c>
      <c r="G534" s="5"/>
      <c r="H534" s="5" t="s">
        <v>83</v>
      </c>
    </row>
    <row r="535">
      <c r="A535" s="25">
        <v>43866.0</v>
      </c>
      <c r="B535" s="34">
        <v>0.4097222222222222</v>
      </c>
      <c r="C535" s="5" t="s">
        <v>374</v>
      </c>
      <c r="D535" s="12">
        <v>525012.0</v>
      </c>
      <c r="E535" s="35">
        <v>48.11</v>
      </c>
      <c r="F535" s="36">
        <v>2.525832732E7</v>
      </c>
      <c r="G535" s="5"/>
      <c r="H535" s="5" t="s">
        <v>83</v>
      </c>
    </row>
    <row r="536">
      <c r="A536" s="25">
        <v>43866.0</v>
      </c>
      <c r="B536" s="34">
        <v>0.4097222222222222</v>
      </c>
      <c r="C536" s="5" t="s">
        <v>375</v>
      </c>
      <c r="D536" s="12">
        <v>165490.0</v>
      </c>
      <c r="E536" s="35">
        <v>99.31</v>
      </c>
      <c r="F536" s="36">
        <v>1.64348119E7</v>
      </c>
      <c r="G536" s="5"/>
      <c r="H536" s="5" t="s">
        <v>83</v>
      </c>
    </row>
    <row r="537">
      <c r="A537" s="25">
        <v>43866.0</v>
      </c>
      <c r="B537" s="34">
        <v>0.4097222222222222</v>
      </c>
      <c r="C537" s="5" t="s">
        <v>376</v>
      </c>
      <c r="D537" s="12">
        <v>1543479.0</v>
      </c>
      <c r="E537" s="35">
        <v>106.44</v>
      </c>
      <c r="F537" s="36">
        <v>1.6428790476E8</v>
      </c>
      <c r="G537" s="5" t="b">
        <v>1</v>
      </c>
      <c r="H537" s="5" t="s">
        <v>83</v>
      </c>
    </row>
    <row r="538">
      <c r="A538" s="25">
        <v>43866.0</v>
      </c>
      <c r="B538" s="34">
        <v>0.4097222222222222</v>
      </c>
      <c r="C538" s="5" t="s">
        <v>170</v>
      </c>
      <c r="D538" s="12">
        <v>696441.0</v>
      </c>
      <c r="E538" s="35">
        <v>145.45</v>
      </c>
      <c r="F538" s="36">
        <v>1.0129734345E8</v>
      </c>
      <c r="G538" s="5" t="b">
        <v>1</v>
      </c>
      <c r="H538" s="5" t="s">
        <v>83</v>
      </c>
    </row>
    <row r="539">
      <c r="A539" s="25">
        <v>43866.0</v>
      </c>
      <c r="B539" s="34">
        <v>0.4097222222222222</v>
      </c>
      <c r="C539" s="5" t="s">
        <v>377</v>
      </c>
      <c r="D539" s="12">
        <v>279500.0</v>
      </c>
      <c r="E539" s="35">
        <v>57.19</v>
      </c>
      <c r="F539" s="36">
        <v>1.5984605E7</v>
      </c>
      <c r="G539" s="5"/>
      <c r="H539" s="5" t="s">
        <v>83</v>
      </c>
    </row>
    <row r="540">
      <c r="A540" s="25">
        <v>43866.0</v>
      </c>
      <c r="B540" s="34">
        <v>0.4097222222222222</v>
      </c>
      <c r="C540" s="5" t="s">
        <v>31</v>
      </c>
      <c r="D540" s="12">
        <v>560000.0</v>
      </c>
      <c r="E540" s="35">
        <v>328.7</v>
      </c>
      <c r="F540" s="36">
        <v>1.84072E8</v>
      </c>
      <c r="G540" s="5" t="b">
        <v>1</v>
      </c>
      <c r="H540" s="5" t="s">
        <v>83</v>
      </c>
    </row>
    <row r="541">
      <c r="A541" s="25">
        <v>43866.0</v>
      </c>
      <c r="B541" s="34">
        <v>0.4097222222222222</v>
      </c>
      <c r="C541" s="5" t="s">
        <v>378</v>
      </c>
      <c r="D541" s="12">
        <v>286916.0</v>
      </c>
      <c r="E541" s="35">
        <v>107.98</v>
      </c>
      <c r="F541" s="36">
        <v>3.098118968E7</v>
      </c>
      <c r="G541" s="5"/>
      <c r="H541" s="5" t="s">
        <v>83</v>
      </c>
    </row>
    <row r="542">
      <c r="A542" s="25">
        <v>43866.0</v>
      </c>
      <c r="B542" s="34">
        <v>0.4097222222222222</v>
      </c>
      <c r="C542" s="5" t="s">
        <v>379</v>
      </c>
      <c r="D542" s="12">
        <v>181507.0</v>
      </c>
      <c r="E542" s="35">
        <v>194.16</v>
      </c>
      <c r="F542" s="36">
        <v>3.524139912E7</v>
      </c>
      <c r="G542" s="5"/>
      <c r="H542" s="5" t="s">
        <v>83</v>
      </c>
    </row>
    <row r="543">
      <c r="A543" s="25">
        <v>43866.0</v>
      </c>
      <c r="B543" s="34">
        <v>0.4097222222222222</v>
      </c>
      <c r="C543" s="5" t="s">
        <v>260</v>
      </c>
      <c r="D543" s="12">
        <v>282562.0</v>
      </c>
      <c r="E543" s="35">
        <v>76.8</v>
      </c>
      <c r="F543" s="36">
        <v>2.17007616E7</v>
      </c>
      <c r="G543" s="5"/>
      <c r="H543" s="5" t="s">
        <v>83</v>
      </c>
    </row>
    <row r="544">
      <c r="A544" s="25">
        <v>43866.0</v>
      </c>
      <c r="B544" s="34">
        <v>0.4097222222222222</v>
      </c>
      <c r="C544" s="5" t="s">
        <v>246</v>
      </c>
      <c r="D544" s="12">
        <v>253087.0</v>
      </c>
      <c r="E544" s="35">
        <v>42.83</v>
      </c>
      <c r="F544" s="36">
        <v>1.083971621E7</v>
      </c>
      <c r="G544" s="5"/>
      <c r="H544" s="5" t="s">
        <v>83</v>
      </c>
    </row>
    <row r="545">
      <c r="A545" s="25">
        <v>43866.0</v>
      </c>
      <c r="B545" s="34">
        <v>0.4097222222222222</v>
      </c>
      <c r="C545" s="5" t="s">
        <v>380</v>
      </c>
      <c r="D545" s="12">
        <v>537705.0</v>
      </c>
      <c r="E545" s="35">
        <v>226.1</v>
      </c>
      <c r="F545" s="36">
        <v>1.215751005E8</v>
      </c>
      <c r="G545" s="5" t="b">
        <v>1</v>
      </c>
      <c r="H545" s="5" t="s">
        <v>83</v>
      </c>
    </row>
    <row r="546">
      <c r="A546" s="25">
        <v>43866.0</v>
      </c>
      <c r="B546" s="34">
        <v>0.4097222222222222</v>
      </c>
      <c r="C546" s="5" t="s">
        <v>381</v>
      </c>
      <c r="D546" s="12">
        <v>274757.0</v>
      </c>
      <c r="E546" s="35">
        <v>363.43</v>
      </c>
      <c r="F546" s="36">
        <v>9.985493651E7</v>
      </c>
      <c r="G546" s="5" t="b">
        <v>1</v>
      </c>
      <c r="H546" s="5" t="s">
        <v>83</v>
      </c>
    </row>
    <row r="547">
      <c r="A547" s="25">
        <v>43866.0</v>
      </c>
      <c r="B547" s="34">
        <v>0.40902777777777777</v>
      </c>
      <c r="C547" s="5" t="s">
        <v>63</v>
      </c>
      <c r="D547" s="12">
        <v>306174.0</v>
      </c>
      <c r="E547" s="35">
        <v>36.79</v>
      </c>
      <c r="F547" s="36">
        <v>1.12628555292E7</v>
      </c>
      <c r="G547" s="5"/>
      <c r="H547" s="5" t="s">
        <v>83</v>
      </c>
    </row>
    <row r="548">
      <c r="A548" s="25">
        <v>43866.0</v>
      </c>
      <c r="B548" s="34">
        <v>0.40902777777777777</v>
      </c>
      <c r="C548" s="5" t="s">
        <v>239</v>
      </c>
      <c r="D548" s="12">
        <v>500000.0</v>
      </c>
      <c r="E548" s="35">
        <v>23.53</v>
      </c>
      <c r="F548" s="36">
        <v>1.1765E7</v>
      </c>
      <c r="G548" s="5"/>
      <c r="H548" s="5" t="s">
        <v>83</v>
      </c>
    </row>
    <row r="549">
      <c r="A549" s="25">
        <v>43866.0</v>
      </c>
      <c r="B549" s="34">
        <v>0.40902777777777777</v>
      </c>
      <c r="C549" s="5" t="s">
        <v>119</v>
      </c>
      <c r="D549" s="12">
        <v>359974.0</v>
      </c>
      <c r="E549" s="35">
        <v>164.92</v>
      </c>
      <c r="F549" s="36">
        <v>5.936691208E7</v>
      </c>
      <c r="G549" s="5" t="b">
        <v>1</v>
      </c>
      <c r="H549" s="5" t="s">
        <v>83</v>
      </c>
    </row>
    <row r="550">
      <c r="A550" s="25">
        <v>43866.0</v>
      </c>
      <c r="B550" s="34">
        <v>0.4083333333333333</v>
      </c>
      <c r="C550" s="5" t="s">
        <v>82</v>
      </c>
      <c r="D550" s="12">
        <v>500000.0</v>
      </c>
      <c r="E550" s="35">
        <v>5.98</v>
      </c>
      <c r="F550" s="36">
        <v>2987500.0</v>
      </c>
      <c r="G550" s="5"/>
      <c r="H550" s="5" t="s">
        <v>83</v>
      </c>
    </row>
    <row r="551">
      <c r="A551" s="25">
        <v>43866.0</v>
      </c>
      <c r="B551" s="34">
        <v>0.4076388888888889</v>
      </c>
      <c r="C551" s="5" t="s">
        <v>137</v>
      </c>
      <c r="D551" s="12">
        <v>440000.0</v>
      </c>
      <c r="E551" s="35">
        <v>43.74</v>
      </c>
      <c r="F551" s="36">
        <v>1.92456E7</v>
      </c>
      <c r="G551" s="5"/>
      <c r="H551" s="5" t="s">
        <v>85</v>
      </c>
    </row>
    <row r="552">
      <c r="A552" s="25">
        <v>43866.0</v>
      </c>
      <c r="B552" s="34">
        <v>0.40694444444444444</v>
      </c>
      <c r="C552" s="5" t="s">
        <v>90</v>
      </c>
      <c r="D552" s="12">
        <v>183400.0</v>
      </c>
      <c r="E552" s="35">
        <v>9.14</v>
      </c>
      <c r="F552" s="36">
        <v>1676276.0</v>
      </c>
      <c r="G552" s="5"/>
      <c r="H552" s="5" t="s">
        <v>83</v>
      </c>
    </row>
    <row r="553">
      <c r="A553" s="25">
        <v>43866.0</v>
      </c>
      <c r="B553" s="34">
        <v>0.40694444444444444</v>
      </c>
      <c r="C553" s="5" t="s">
        <v>158</v>
      </c>
      <c r="D553" s="12">
        <v>403518.0</v>
      </c>
      <c r="E553" s="35">
        <v>14.77</v>
      </c>
      <c r="F553" s="36">
        <v>5959960.86</v>
      </c>
      <c r="G553" s="5"/>
      <c r="H553" s="5" t="s">
        <v>83</v>
      </c>
    </row>
    <row r="554">
      <c r="A554" s="25">
        <v>43866.0</v>
      </c>
      <c r="B554" s="34">
        <v>0.40625</v>
      </c>
      <c r="C554" s="5" t="s">
        <v>318</v>
      </c>
      <c r="D554" s="12">
        <v>500000.0</v>
      </c>
      <c r="E554" s="35">
        <v>17.2</v>
      </c>
      <c r="F554" s="36">
        <v>8600000.0</v>
      </c>
      <c r="G554" s="5"/>
      <c r="H554" s="5" t="s">
        <v>83</v>
      </c>
    </row>
    <row r="555">
      <c r="A555" s="25">
        <v>43866.0</v>
      </c>
      <c r="B555" s="34">
        <v>0.40555555555555556</v>
      </c>
      <c r="C555" s="5" t="s">
        <v>305</v>
      </c>
      <c r="D555" s="12">
        <v>168298.0</v>
      </c>
      <c r="E555" s="35">
        <v>43.55</v>
      </c>
      <c r="F555" s="36">
        <v>7328536.41</v>
      </c>
      <c r="G555" s="5"/>
      <c r="H555" s="5" t="s">
        <v>83</v>
      </c>
    </row>
    <row r="556">
      <c r="A556" s="25">
        <v>43866.0</v>
      </c>
      <c r="B556" s="34">
        <v>0.40555555555555556</v>
      </c>
      <c r="C556" s="5" t="s">
        <v>56</v>
      </c>
      <c r="D556" s="12">
        <v>750000.0</v>
      </c>
      <c r="E556" s="35">
        <v>53.55</v>
      </c>
      <c r="F556" s="36">
        <v>4.01625E7</v>
      </c>
      <c r="G556" s="5"/>
      <c r="H556" s="5" t="s">
        <v>83</v>
      </c>
    </row>
    <row r="557">
      <c r="A557" s="25">
        <v>43866.0</v>
      </c>
      <c r="B557" s="34">
        <v>0.4048611111111111</v>
      </c>
      <c r="C557" s="5" t="s">
        <v>383</v>
      </c>
      <c r="D557" s="12">
        <v>1579650.0</v>
      </c>
      <c r="E557" s="35">
        <v>48.49</v>
      </c>
      <c r="F557" s="36">
        <v>7.65972285E7</v>
      </c>
      <c r="G557" s="5" t="b">
        <v>1</v>
      </c>
      <c r="H557" s="5" t="s">
        <v>83</v>
      </c>
    </row>
    <row r="558">
      <c r="A558" s="25">
        <v>43866.0</v>
      </c>
      <c r="B558" s="34">
        <v>0.4041666666666667</v>
      </c>
      <c r="C558" s="5" t="s">
        <v>384</v>
      </c>
      <c r="D558" s="12">
        <v>2077500.0</v>
      </c>
      <c r="E558" s="35">
        <v>19.25</v>
      </c>
      <c r="F558" s="36">
        <v>3.9991875E7</v>
      </c>
      <c r="G558" s="5"/>
      <c r="H558" s="5" t="s">
        <v>83</v>
      </c>
    </row>
    <row r="559">
      <c r="A559" s="25">
        <v>43866.0</v>
      </c>
      <c r="B559" s="34">
        <v>0.4041666666666667</v>
      </c>
      <c r="C559" s="5" t="s">
        <v>385</v>
      </c>
      <c r="D559" s="12">
        <v>193800.0</v>
      </c>
      <c r="E559" s="35">
        <v>67.99</v>
      </c>
      <c r="F559" s="36">
        <v>1.3176462E7</v>
      </c>
      <c r="G559" s="5"/>
      <c r="H559" s="5" t="s">
        <v>83</v>
      </c>
    </row>
    <row r="560">
      <c r="A560" s="25">
        <v>43866.0</v>
      </c>
      <c r="B560" s="34">
        <v>0.4041666666666667</v>
      </c>
      <c r="C560" s="5" t="s">
        <v>82</v>
      </c>
      <c r="D560" s="12">
        <v>401266.0</v>
      </c>
      <c r="E560" s="35">
        <v>5.96</v>
      </c>
      <c r="F560" s="36">
        <v>2391545.36</v>
      </c>
      <c r="G560" s="5"/>
      <c r="H560" s="5" t="s">
        <v>83</v>
      </c>
    </row>
    <row r="561">
      <c r="A561" s="25">
        <v>43866.0</v>
      </c>
      <c r="B561" s="34">
        <v>0.4027777777777778</v>
      </c>
      <c r="C561" s="5" t="s">
        <v>44</v>
      </c>
      <c r="D561" s="12">
        <v>155100.0</v>
      </c>
      <c r="E561" s="35">
        <v>11.9</v>
      </c>
      <c r="F561" s="36">
        <v>1845690.0</v>
      </c>
      <c r="G561" s="5"/>
      <c r="H561" s="5" t="s">
        <v>83</v>
      </c>
    </row>
    <row r="562">
      <c r="A562" s="25">
        <v>43866.0</v>
      </c>
      <c r="B562" s="34">
        <v>0.4027777777777778</v>
      </c>
      <c r="C562" s="5" t="s">
        <v>324</v>
      </c>
      <c r="D562" s="12">
        <v>300800.0</v>
      </c>
      <c r="E562" s="35">
        <v>61.86</v>
      </c>
      <c r="F562" s="36">
        <v>1.8607488E7</v>
      </c>
      <c r="G562" s="5"/>
      <c r="H562" s="5" t="s">
        <v>83</v>
      </c>
    </row>
    <row r="563">
      <c r="A563" s="25">
        <v>43866.0</v>
      </c>
      <c r="B563" s="34">
        <v>0.4027777777777778</v>
      </c>
      <c r="C563" s="5" t="s">
        <v>318</v>
      </c>
      <c r="D563" s="12">
        <v>200000.0</v>
      </c>
      <c r="E563" s="35">
        <v>17.21</v>
      </c>
      <c r="F563" s="36">
        <v>3442000.0</v>
      </c>
      <c r="G563" s="5"/>
      <c r="H563" s="5" t="s">
        <v>83</v>
      </c>
    </row>
    <row r="564">
      <c r="A564" s="25">
        <v>43866.0</v>
      </c>
      <c r="B564" s="34">
        <v>0.4027777777777778</v>
      </c>
      <c r="C564" s="5" t="s">
        <v>125</v>
      </c>
      <c r="D564" s="12">
        <v>1317000.0</v>
      </c>
      <c r="E564" s="35">
        <v>41.01</v>
      </c>
      <c r="F564" s="36">
        <v>5.401017E7</v>
      </c>
      <c r="G564" s="5" t="b">
        <v>1</v>
      </c>
      <c r="H564" s="5" t="s">
        <v>83</v>
      </c>
    </row>
    <row r="565">
      <c r="A565" s="25">
        <v>43866.0</v>
      </c>
      <c r="B565" s="34">
        <v>0.4013888888888889</v>
      </c>
      <c r="C565" s="5" t="s">
        <v>194</v>
      </c>
      <c r="D565" s="12">
        <v>190524.0</v>
      </c>
      <c r="E565" s="35">
        <v>12.3</v>
      </c>
      <c r="F565" s="36">
        <v>2343445.2</v>
      </c>
      <c r="G565" s="5"/>
      <c r="H565" s="5" t="s">
        <v>83</v>
      </c>
    </row>
    <row r="566">
      <c r="A566" s="25">
        <v>43866.0</v>
      </c>
      <c r="B566" s="34">
        <v>0.40069444444444446</v>
      </c>
      <c r="C566" s="5" t="s">
        <v>386</v>
      </c>
      <c r="D566" s="12">
        <v>200000.0</v>
      </c>
      <c r="E566" s="35">
        <v>21.57</v>
      </c>
      <c r="F566" s="36">
        <v>4314000.0</v>
      </c>
      <c r="G566" s="5"/>
      <c r="H566" s="5" t="s">
        <v>83</v>
      </c>
    </row>
    <row r="567">
      <c r="A567" s="25">
        <v>43866.0</v>
      </c>
      <c r="B567" s="34">
        <v>0.40069444444444446</v>
      </c>
      <c r="C567" s="5" t="s">
        <v>387</v>
      </c>
      <c r="D567" s="12">
        <v>250000.0</v>
      </c>
      <c r="E567" s="35">
        <v>104.07</v>
      </c>
      <c r="F567" s="36">
        <v>2.601625E7</v>
      </c>
      <c r="G567" s="5"/>
      <c r="H567" s="5" t="s">
        <v>83</v>
      </c>
    </row>
    <row r="568">
      <c r="A568" s="25">
        <v>43866.0</v>
      </c>
      <c r="B568" s="34">
        <v>0.40069444444444446</v>
      </c>
      <c r="C568" s="5" t="s">
        <v>87</v>
      </c>
      <c r="D568" s="12">
        <v>221400.0</v>
      </c>
      <c r="E568" s="35">
        <v>14.42</v>
      </c>
      <c r="F568" s="36">
        <v>3192588.0</v>
      </c>
      <c r="G568" s="5"/>
      <c r="H568" s="5" t="s">
        <v>83</v>
      </c>
    </row>
    <row r="569">
      <c r="A569" s="25">
        <v>43866.0</v>
      </c>
      <c r="B569" s="34">
        <v>0.40069444444444446</v>
      </c>
      <c r="C569" s="5" t="s">
        <v>388</v>
      </c>
      <c r="D569" s="12">
        <v>150000.0</v>
      </c>
      <c r="E569" s="35">
        <v>34.86</v>
      </c>
      <c r="F569" s="36">
        <v>5228250.0</v>
      </c>
      <c r="G569" s="5"/>
      <c r="H569" s="5" t="s">
        <v>83</v>
      </c>
    </row>
    <row r="570">
      <c r="A570" s="25">
        <v>43866.0</v>
      </c>
      <c r="B570" s="34">
        <v>0.39791666666666664</v>
      </c>
      <c r="C570" s="5" t="s">
        <v>389</v>
      </c>
      <c r="D570" s="12">
        <v>4100000.0</v>
      </c>
      <c r="E570" s="35">
        <v>7.17</v>
      </c>
      <c r="F570" s="36">
        <v>2.941135E7</v>
      </c>
      <c r="G570" s="5"/>
      <c r="H570" s="5" t="s">
        <v>83</v>
      </c>
    </row>
    <row r="571">
      <c r="A571" s="25">
        <v>43866.0</v>
      </c>
      <c r="B571" s="34">
        <v>0.39791666666666664</v>
      </c>
      <c r="C571" s="5" t="s">
        <v>87</v>
      </c>
      <c r="D571" s="12">
        <v>250000.0</v>
      </c>
      <c r="E571" s="35">
        <v>14.42</v>
      </c>
      <c r="F571" s="36">
        <v>3605000.0</v>
      </c>
      <c r="G571" s="5"/>
      <c r="H571" s="5" t="s">
        <v>83</v>
      </c>
    </row>
    <row r="572">
      <c r="A572" s="25">
        <v>43866.0</v>
      </c>
      <c r="B572" s="34">
        <v>0.3972222222222222</v>
      </c>
      <c r="C572" s="5" t="s">
        <v>318</v>
      </c>
      <c r="D572" s="12">
        <v>250000.0</v>
      </c>
      <c r="E572" s="35">
        <v>17.15</v>
      </c>
      <c r="F572" s="36">
        <v>4287500.0</v>
      </c>
      <c r="G572" s="5"/>
      <c r="H572" s="5" t="s">
        <v>83</v>
      </c>
    </row>
    <row r="573">
      <c r="A573" s="25">
        <v>43866.0</v>
      </c>
      <c r="B573" s="34">
        <v>0.3972222222222222</v>
      </c>
      <c r="C573" s="5" t="s">
        <v>292</v>
      </c>
      <c r="D573" s="12">
        <v>400000.0</v>
      </c>
      <c r="E573" s="35">
        <v>68.0</v>
      </c>
      <c r="F573" s="36">
        <v>2.72E7</v>
      </c>
      <c r="G573" s="5"/>
      <c r="H573" s="5" t="s">
        <v>83</v>
      </c>
    </row>
    <row r="574">
      <c r="A574" s="25">
        <v>43866.0</v>
      </c>
      <c r="B574" s="34">
        <v>0.3972222222222222</v>
      </c>
      <c r="C574" s="5" t="s">
        <v>318</v>
      </c>
      <c r="D574" s="12">
        <v>247928.0</v>
      </c>
      <c r="E574" s="35">
        <v>17.12</v>
      </c>
      <c r="F574" s="36">
        <v>4244527.36</v>
      </c>
      <c r="G574" s="5"/>
      <c r="H574" s="5" t="s">
        <v>83</v>
      </c>
    </row>
    <row r="575">
      <c r="A575" s="25"/>
      <c r="B575" s="34"/>
      <c r="C575" s="5"/>
      <c r="D575" s="12"/>
      <c r="E575" s="35"/>
      <c r="F575" s="36"/>
      <c r="G575" s="5"/>
      <c r="H575" s="5"/>
    </row>
    <row r="576">
      <c r="A576" s="25"/>
      <c r="B576" s="34"/>
      <c r="C576" s="5"/>
      <c r="D576" s="12"/>
      <c r="E576" s="35"/>
      <c r="F576" s="36"/>
      <c r="G576" s="5"/>
      <c r="H576" s="5"/>
    </row>
    <row r="577">
      <c r="A577" s="25"/>
      <c r="B577" s="34"/>
      <c r="C577" s="5"/>
      <c r="D577" s="12"/>
      <c r="E577" s="35"/>
      <c r="F577" s="36"/>
      <c r="G577" s="5"/>
      <c r="H577" s="5"/>
    </row>
    <row r="578">
      <c r="A578" s="25"/>
      <c r="B578" s="34"/>
      <c r="C578" s="5"/>
      <c r="D578" s="12"/>
      <c r="E578" s="35"/>
      <c r="F578" s="36"/>
      <c r="G578" s="5"/>
      <c r="H578" s="5"/>
    </row>
    <row r="579">
      <c r="A579" s="25"/>
      <c r="B579" s="34"/>
      <c r="C579" s="5"/>
      <c r="D579" s="12"/>
      <c r="E579" s="35"/>
      <c r="F579" s="36"/>
      <c r="G579" s="5"/>
      <c r="H579" s="5"/>
    </row>
    <row r="580">
      <c r="A580" s="25"/>
      <c r="B580" s="34"/>
      <c r="C580" s="5"/>
      <c r="D580" s="12"/>
      <c r="E580" s="35"/>
      <c r="F580" s="36"/>
      <c r="G580" s="5"/>
      <c r="H580" s="5"/>
    </row>
    <row r="581">
      <c r="A581" s="25"/>
      <c r="B581" s="34"/>
      <c r="C581" s="5"/>
      <c r="D581" s="12"/>
      <c r="E581" s="35"/>
      <c r="F581" s="36"/>
      <c r="G581" s="5"/>
      <c r="H581" s="5"/>
    </row>
    <row r="582">
      <c r="A582" s="25"/>
      <c r="B582" s="34"/>
      <c r="C582" s="5"/>
      <c r="D582" s="12"/>
      <c r="E582" s="35"/>
      <c r="F582" s="36"/>
      <c r="G582" s="5"/>
      <c r="H582" s="5"/>
    </row>
    <row r="583">
      <c r="A583" s="25"/>
      <c r="B583" s="34"/>
      <c r="C583" s="5"/>
      <c r="D583" s="12"/>
      <c r="E583" s="35"/>
      <c r="F583" s="36"/>
      <c r="G583" s="5"/>
      <c r="H583" s="5"/>
    </row>
    <row r="584">
      <c r="A584" s="25"/>
      <c r="B584" s="34"/>
      <c r="C584" s="5"/>
      <c r="D584" s="12"/>
      <c r="E584" s="35"/>
      <c r="F584" s="36"/>
      <c r="G584" s="5"/>
      <c r="H584" s="5"/>
    </row>
    <row r="585">
      <c r="A585" s="25"/>
      <c r="B585" s="34"/>
      <c r="C585" s="5"/>
      <c r="D585" s="12"/>
      <c r="E585" s="35"/>
      <c r="F585" s="36"/>
      <c r="G585" s="5"/>
      <c r="H585" s="5"/>
    </row>
    <row r="586">
      <c r="A586" s="25"/>
      <c r="B586" s="34"/>
      <c r="C586" s="5"/>
      <c r="D586" s="12"/>
      <c r="E586" s="35"/>
      <c r="F586" s="36"/>
      <c r="G586" s="5"/>
      <c r="H586" s="5"/>
    </row>
    <row r="587">
      <c r="A587" s="25"/>
      <c r="B587" s="34"/>
      <c r="C587" s="5"/>
      <c r="D587" s="12"/>
      <c r="E587" s="35"/>
      <c r="F587" s="36"/>
      <c r="G587" s="5"/>
      <c r="H587" s="5"/>
    </row>
    <row r="588">
      <c r="A588" s="25"/>
      <c r="B588" s="34"/>
      <c r="C588" s="5"/>
      <c r="D588" s="12"/>
      <c r="E588" s="35"/>
      <c r="F588" s="36"/>
      <c r="G588" s="5"/>
      <c r="H588" s="5"/>
    </row>
    <row r="589">
      <c r="A589" s="25"/>
      <c r="B589" s="34"/>
      <c r="C589" s="5"/>
      <c r="D589" s="12"/>
      <c r="E589" s="35"/>
      <c r="F589" s="36"/>
      <c r="G589" s="5"/>
      <c r="H589" s="5"/>
    </row>
    <row r="590">
      <c r="A590" s="25"/>
      <c r="B590" s="34"/>
      <c r="C590" s="5"/>
      <c r="D590" s="12"/>
      <c r="E590" s="35"/>
      <c r="F590" s="36"/>
      <c r="G590" s="5"/>
      <c r="H590" s="5"/>
    </row>
    <row r="591">
      <c r="A591" s="25"/>
      <c r="B591" s="34"/>
      <c r="C591" s="5"/>
      <c r="D591" s="12"/>
      <c r="E591" s="35"/>
      <c r="F591" s="36"/>
      <c r="G591" s="5"/>
      <c r="H591" s="5"/>
    </row>
    <row r="592">
      <c r="A592" s="25"/>
      <c r="B592" s="34"/>
      <c r="C592" s="5"/>
      <c r="D592" s="12"/>
      <c r="E592" s="35"/>
      <c r="F592" s="36"/>
      <c r="G592" s="5"/>
      <c r="H592" s="5"/>
    </row>
    <row r="593">
      <c r="A593" s="25"/>
      <c r="B593" s="34"/>
      <c r="C593" s="5"/>
      <c r="D593" s="12"/>
      <c r="E593" s="35"/>
      <c r="F593" s="36"/>
      <c r="G593" s="5"/>
      <c r="H593" s="5"/>
    </row>
    <row r="594">
      <c r="A594" s="25"/>
      <c r="B594" s="34"/>
      <c r="C594" s="5"/>
      <c r="D594" s="12"/>
      <c r="E594" s="35"/>
      <c r="F594" s="36"/>
      <c r="G594" s="5"/>
      <c r="H594" s="5"/>
    </row>
    <row r="595">
      <c r="A595" s="25"/>
      <c r="B595" s="34"/>
      <c r="C595" s="5"/>
      <c r="D595" s="12"/>
      <c r="E595" s="35"/>
      <c r="F595" s="36"/>
      <c r="G595" s="5"/>
      <c r="H595" s="5"/>
    </row>
    <row r="596">
      <c r="A596" s="25"/>
      <c r="B596" s="34"/>
      <c r="C596" s="5"/>
      <c r="D596" s="12"/>
      <c r="E596" s="35"/>
      <c r="F596" s="36"/>
      <c r="G596" s="5"/>
      <c r="H596" s="5"/>
    </row>
    <row r="597">
      <c r="A597" s="25"/>
      <c r="B597" s="34"/>
      <c r="C597" s="5"/>
      <c r="D597" s="12"/>
      <c r="E597" s="35"/>
      <c r="F597" s="36"/>
      <c r="G597" s="5"/>
      <c r="H597" s="5"/>
    </row>
    <row r="598">
      <c r="A598" s="25"/>
      <c r="B598" s="34"/>
      <c r="C598" s="5"/>
      <c r="D598" s="12"/>
      <c r="E598" s="35"/>
      <c r="F598" s="36"/>
      <c r="G598" s="5"/>
      <c r="H598" s="5"/>
    </row>
    <row r="599">
      <c r="A599" s="25"/>
      <c r="B599" s="34"/>
      <c r="C599" s="5"/>
      <c r="D599" s="12"/>
      <c r="E599" s="35"/>
      <c r="F599" s="36"/>
      <c r="G599" s="5"/>
      <c r="H599" s="5"/>
    </row>
    <row r="600">
      <c r="A600" s="25"/>
      <c r="B600" s="34"/>
      <c r="C600" s="5"/>
      <c r="D600" s="12"/>
      <c r="E600" s="35"/>
      <c r="F600" s="36"/>
      <c r="G600" s="5"/>
      <c r="H600" s="5"/>
    </row>
    <row r="601">
      <c r="A601" s="25"/>
      <c r="B601" s="34"/>
      <c r="C601" s="5"/>
      <c r="D601" s="12"/>
      <c r="E601" s="35"/>
      <c r="F601" s="36"/>
      <c r="G601" s="5"/>
      <c r="H601" s="5"/>
    </row>
    <row r="602">
      <c r="A602" s="25"/>
      <c r="B602" s="34"/>
      <c r="C602" s="5"/>
      <c r="D602" s="12"/>
      <c r="E602" s="35"/>
      <c r="F602" s="36"/>
      <c r="G602" s="5"/>
      <c r="H602" s="5"/>
    </row>
    <row r="603">
      <c r="A603" s="25"/>
      <c r="B603" s="34"/>
      <c r="C603" s="5"/>
      <c r="D603" s="12"/>
      <c r="E603" s="35"/>
      <c r="F603" s="36"/>
      <c r="G603" s="5"/>
      <c r="H603" s="5"/>
    </row>
    <row r="604">
      <c r="A604" s="25"/>
      <c r="B604" s="34"/>
      <c r="C604" s="5"/>
      <c r="D604" s="12"/>
      <c r="E604" s="35"/>
      <c r="F604" s="36"/>
      <c r="G604" s="5"/>
      <c r="H604" s="5"/>
    </row>
    <row r="605">
      <c r="A605" s="25"/>
      <c r="B605" s="34"/>
      <c r="C605" s="5"/>
      <c r="D605" s="12"/>
      <c r="E605" s="35"/>
      <c r="F605" s="36"/>
      <c r="G605" s="5"/>
      <c r="H605" s="5"/>
    </row>
    <row r="606">
      <c r="A606" s="25"/>
      <c r="B606" s="34"/>
      <c r="C606" s="5"/>
      <c r="D606" s="12"/>
      <c r="E606" s="35"/>
      <c r="F606" s="36"/>
      <c r="G606" s="5"/>
      <c r="H606" s="5"/>
    </row>
    <row r="607">
      <c r="A607" s="25"/>
      <c r="B607" s="34"/>
      <c r="C607" s="5"/>
      <c r="D607" s="12"/>
      <c r="E607" s="35"/>
      <c r="F607" s="36"/>
      <c r="G607" s="5"/>
      <c r="H607" s="5"/>
    </row>
    <row r="608">
      <c r="A608" s="25"/>
      <c r="B608" s="34"/>
      <c r="C608" s="5"/>
      <c r="D608" s="12"/>
      <c r="E608" s="35"/>
      <c r="F608" s="36"/>
      <c r="G608" s="5"/>
      <c r="H608" s="5"/>
    </row>
    <row r="609">
      <c r="A609" s="25"/>
      <c r="B609" s="34"/>
      <c r="C609" s="5"/>
      <c r="D609" s="12"/>
      <c r="E609" s="35"/>
      <c r="F609" s="36"/>
      <c r="G609" s="5"/>
      <c r="H609" s="5"/>
    </row>
    <row r="610">
      <c r="A610" s="25"/>
      <c r="B610" s="34"/>
      <c r="C610" s="5"/>
      <c r="D610" s="12"/>
      <c r="E610" s="35"/>
      <c r="F610" s="36"/>
      <c r="G610" s="5"/>
      <c r="H610" s="5"/>
    </row>
    <row r="611">
      <c r="A611" s="25"/>
      <c r="B611" s="34"/>
      <c r="C611" s="5"/>
      <c r="D611" s="12"/>
      <c r="E611" s="35"/>
      <c r="F611" s="36"/>
      <c r="G611" s="5"/>
      <c r="H611" s="5"/>
    </row>
    <row r="612">
      <c r="A612" s="25"/>
      <c r="B612" s="34"/>
      <c r="C612" s="5"/>
      <c r="D612" s="12"/>
      <c r="E612" s="35"/>
      <c r="F612" s="36"/>
      <c r="G612" s="5"/>
      <c r="H612" s="5"/>
    </row>
    <row r="613">
      <c r="A613" s="25"/>
      <c r="B613" s="34"/>
      <c r="C613" s="5"/>
      <c r="D613" s="12"/>
      <c r="E613" s="35"/>
      <c r="F613" s="36"/>
      <c r="G613" s="5"/>
      <c r="H613" s="5"/>
    </row>
    <row r="614">
      <c r="A614" s="25"/>
      <c r="B614" s="34"/>
      <c r="C614" s="5"/>
      <c r="D614" s="12"/>
      <c r="E614" s="35"/>
      <c r="F614" s="36"/>
      <c r="G614" s="5"/>
      <c r="H614" s="5"/>
    </row>
    <row r="615">
      <c r="A615" s="25"/>
      <c r="B615" s="34"/>
      <c r="C615" s="5"/>
      <c r="D615" s="12"/>
      <c r="E615" s="35"/>
      <c r="F615" s="36"/>
      <c r="G615" s="5"/>
      <c r="H615" s="5"/>
    </row>
    <row r="616">
      <c r="A616" s="25"/>
      <c r="B616" s="34"/>
      <c r="C616" s="5"/>
      <c r="D616" s="12"/>
      <c r="E616" s="35"/>
      <c r="F616" s="36"/>
      <c r="G616" s="5"/>
      <c r="H616" s="5"/>
    </row>
    <row r="617">
      <c r="A617" s="25"/>
      <c r="B617" s="34"/>
      <c r="C617" s="5"/>
      <c r="D617" s="12"/>
      <c r="E617" s="35"/>
      <c r="F617" s="36"/>
      <c r="G617" s="5"/>
      <c r="H617" s="5"/>
    </row>
    <row r="618">
      <c r="A618" s="25"/>
      <c r="B618" s="34"/>
      <c r="C618" s="5"/>
      <c r="D618" s="12"/>
      <c r="E618" s="35"/>
      <c r="F618" s="36"/>
      <c r="G618" s="5"/>
      <c r="H618" s="5"/>
    </row>
    <row r="619">
      <c r="A619" s="25"/>
      <c r="B619" s="34"/>
      <c r="C619" s="5"/>
      <c r="D619" s="12"/>
      <c r="E619" s="35"/>
      <c r="F619" s="36"/>
      <c r="G619" s="5"/>
      <c r="H619" s="5"/>
    </row>
    <row r="620">
      <c r="A620" s="25"/>
      <c r="B620" s="34"/>
      <c r="C620" s="5"/>
      <c r="D620" s="12"/>
      <c r="E620" s="35"/>
      <c r="F620" s="36"/>
      <c r="G620" s="5"/>
      <c r="H620" s="5"/>
    </row>
    <row r="621">
      <c r="A621" s="25"/>
      <c r="B621" s="34"/>
      <c r="C621" s="5"/>
      <c r="D621" s="12"/>
      <c r="E621" s="35"/>
      <c r="F621" s="36"/>
      <c r="G621" s="5"/>
      <c r="H621" s="5"/>
    </row>
    <row r="622">
      <c r="A622" s="25"/>
      <c r="B622" s="34"/>
      <c r="C622" s="5"/>
      <c r="D622" s="12"/>
      <c r="E622" s="35"/>
      <c r="F622" s="36"/>
      <c r="G622" s="5"/>
      <c r="H622" s="5"/>
    </row>
    <row r="623">
      <c r="A623" s="25"/>
      <c r="B623" s="34"/>
      <c r="C623" s="5"/>
      <c r="D623" s="12"/>
      <c r="E623" s="35"/>
      <c r="F623" s="36"/>
      <c r="G623" s="5"/>
      <c r="H623" s="5"/>
    </row>
    <row r="624">
      <c r="A624" s="25"/>
      <c r="B624" s="34"/>
      <c r="C624" s="5"/>
      <c r="D624" s="12"/>
      <c r="E624" s="35"/>
      <c r="F624" s="36"/>
      <c r="G624" s="5"/>
      <c r="H624" s="5"/>
    </row>
    <row r="625">
      <c r="A625" s="25"/>
      <c r="B625" s="34"/>
      <c r="C625" s="5"/>
      <c r="D625" s="12"/>
      <c r="E625" s="35"/>
      <c r="F625" s="36"/>
      <c r="G625" s="5"/>
      <c r="H625" s="5"/>
    </row>
    <row r="626">
      <c r="A626" s="25"/>
      <c r="B626" s="34"/>
      <c r="C626" s="5"/>
      <c r="D626" s="12"/>
      <c r="E626" s="35"/>
      <c r="F626" s="36"/>
      <c r="G626" s="5"/>
      <c r="H626" s="5"/>
    </row>
    <row r="627">
      <c r="A627" s="25"/>
      <c r="B627" s="34"/>
      <c r="C627" s="5"/>
      <c r="D627" s="12"/>
      <c r="E627" s="35"/>
      <c r="F627" s="36"/>
      <c r="G627" s="5"/>
      <c r="H627" s="5"/>
    </row>
    <row r="628">
      <c r="A628" s="25"/>
      <c r="B628" s="34"/>
      <c r="C628" s="5"/>
      <c r="D628" s="12"/>
      <c r="E628" s="35"/>
      <c r="F628" s="36"/>
      <c r="G628" s="5"/>
      <c r="H628" s="5"/>
    </row>
    <row r="629">
      <c r="A629" s="25"/>
      <c r="B629" s="34"/>
      <c r="C629" s="5"/>
      <c r="D629" s="12"/>
      <c r="E629" s="35"/>
      <c r="F629" s="36"/>
      <c r="G629" s="5"/>
      <c r="H629" s="5"/>
    </row>
    <row r="630">
      <c r="A630" s="25"/>
      <c r="B630" s="34"/>
      <c r="C630" s="5"/>
      <c r="D630" s="12"/>
      <c r="E630" s="35"/>
      <c r="F630" s="36"/>
      <c r="G630" s="5"/>
      <c r="H630" s="5"/>
    </row>
    <row r="631">
      <c r="A631" s="25"/>
      <c r="B631" s="34"/>
      <c r="C631" s="5"/>
      <c r="D631" s="12"/>
      <c r="E631" s="35"/>
      <c r="F631" s="36"/>
      <c r="G631" s="5"/>
      <c r="H631" s="5"/>
    </row>
    <row r="632">
      <c r="A632" s="25"/>
      <c r="B632" s="34"/>
      <c r="C632" s="5"/>
      <c r="D632" s="12"/>
      <c r="E632" s="35"/>
      <c r="F632" s="36"/>
      <c r="G632" s="5"/>
      <c r="H632" s="5"/>
    </row>
    <row r="633">
      <c r="A633" s="25"/>
      <c r="B633" s="34"/>
      <c r="C633" s="5"/>
      <c r="D633" s="12"/>
      <c r="E633" s="35"/>
      <c r="F633" s="36"/>
      <c r="G633" s="5"/>
      <c r="H633" s="5"/>
    </row>
    <row r="634">
      <c r="A634" s="25"/>
      <c r="B634" s="34"/>
      <c r="C634" s="5"/>
      <c r="D634" s="12"/>
      <c r="E634" s="35"/>
      <c r="F634" s="36"/>
      <c r="G634" s="5"/>
      <c r="H634" s="5"/>
    </row>
    <row r="635">
      <c r="A635" s="25"/>
      <c r="B635" s="34"/>
      <c r="C635" s="5"/>
      <c r="D635" s="12"/>
      <c r="E635" s="35"/>
      <c r="F635" s="36"/>
      <c r="G635" s="5"/>
      <c r="H635" s="5"/>
    </row>
    <row r="636">
      <c r="A636" s="25"/>
      <c r="B636" s="34"/>
      <c r="C636" s="5"/>
      <c r="D636" s="12"/>
      <c r="E636" s="35"/>
      <c r="F636" s="36"/>
      <c r="G636" s="5"/>
      <c r="H636" s="5"/>
    </row>
    <row r="637">
      <c r="A637" s="25"/>
      <c r="B637" s="34"/>
      <c r="C637" s="5"/>
      <c r="D637" s="12"/>
      <c r="E637" s="35"/>
      <c r="F637" s="36"/>
      <c r="G637" s="5"/>
      <c r="H637" s="5"/>
    </row>
    <row r="638">
      <c r="A638" s="25"/>
      <c r="B638" s="34"/>
      <c r="C638" s="5"/>
      <c r="D638" s="12"/>
      <c r="E638" s="35"/>
      <c r="F638" s="36"/>
      <c r="G638" s="5"/>
      <c r="H638" s="5"/>
    </row>
    <row r="639">
      <c r="A639" s="25"/>
      <c r="B639" s="34"/>
      <c r="C639" s="5"/>
      <c r="D639" s="12"/>
      <c r="E639" s="35"/>
      <c r="F639" s="36"/>
      <c r="G639" s="5"/>
      <c r="H639" s="5"/>
    </row>
    <row r="640">
      <c r="A640" s="25"/>
      <c r="B640" s="34"/>
      <c r="C640" s="5"/>
      <c r="D640" s="12"/>
      <c r="E640" s="35"/>
      <c r="F640" s="36"/>
      <c r="G640" s="5"/>
      <c r="H640" s="5"/>
    </row>
    <row r="641">
      <c r="A641" s="25"/>
      <c r="B641" s="34"/>
      <c r="C641" s="5"/>
      <c r="D641" s="12"/>
      <c r="E641" s="35"/>
      <c r="F641" s="36"/>
      <c r="G641" s="5"/>
      <c r="H641" s="5"/>
    </row>
    <row r="642">
      <c r="A642" s="25"/>
      <c r="B642" s="34"/>
      <c r="C642" s="5"/>
      <c r="D642" s="12"/>
      <c r="E642" s="35"/>
      <c r="F642" s="36"/>
      <c r="G642" s="5"/>
      <c r="H642" s="5"/>
    </row>
    <row r="643">
      <c r="A643" s="25"/>
      <c r="B643" s="34"/>
      <c r="C643" s="5"/>
      <c r="D643" s="12"/>
      <c r="E643" s="35"/>
      <c r="F643" s="36"/>
      <c r="G643" s="5"/>
      <c r="H643" s="5"/>
    </row>
    <row r="644">
      <c r="A644" s="25"/>
      <c r="B644" s="34"/>
      <c r="C644" s="5"/>
      <c r="D644" s="12"/>
      <c r="E644" s="35"/>
      <c r="F644" s="36"/>
      <c r="G644" s="5"/>
      <c r="H644" s="5"/>
    </row>
    <row r="645">
      <c r="A645" s="25"/>
      <c r="B645" s="34"/>
      <c r="C645" s="5"/>
      <c r="D645" s="12"/>
      <c r="E645" s="35"/>
      <c r="F645" s="36"/>
      <c r="G645" s="5"/>
      <c r="H645" s="5"/>
    </row>
    <row r="646">
      <c r="A646" s="25"/>
      <c r="B646" s="34"/>
      <c r="C646" s="5"/>
      <c r="D646" s="12"/>
      <c r="E646" s="35"/>
      <c r="F646" s="36"/>
      <c r="G646" s="5"/>
      <c r="H646" s="5"/>
    </row>
    <row r="647">
      <c r="A647" s="25"/>
      <c r="B647" s="34"/>
      <c r="C647" s="5"/>
      <c r="D647" s="12"/>
      <c r="E647" s="35"/>
      <c r="F647" s="36"/>
      <c r="G647" s="5"/>
      <c r="H647" s="5"/>
    </row>
    <row r="648">
      <c r="A648" s="25"/>
      <c r="B648" s="34"/>
      <c r="C648" s="5"/>
      <c r="D648" s="12"/>
      <c r="E648" s="35"/>
      <c r="F648" s="36"/>
      <c r="G648" s="5"/>
      <c r="H648" s="5"/>
    </row>
    <row r="649">
      <c r="A649" s="25"/>
      <c r="B649" s="34"/>
      <c r="C649" s="5"/>
      <c r="D649" s="12"/>
      <c r="E649" s="35"/>
      <c r="F649" s="36"/>
      <c r="G649" s="5"/>
      <c r="H649" s="5"/>
    </row>
    <row r="650">
      <c r="A650" s="25"/>
      <c r="B650" s="34"/>
      <c r="C650" s="5"/>
      <c r="D650" s="12"/>
      <c r="E650" s="35"/>
      <c r="F650" s="36"/>
      <c r="G650" s="5"/>
      <c r="H650" s="5"/>
    </row>
    <row r="651">
      <c r="A651" s="25"/>
      <c r="B651" s="34"/>
      <c r="C651" s="5"/>
      <c r="D651" s="12"/>
      <c r="E651" s="35"/>
      <c r="F651" s="36"/>
      <c r="G651" s="5"/>
      <c r="H651" s="5"/>
    </row>
    <row r="652">
      <c r="A652" s="25"/>
      <c r="B652" s="34"/>
      <c r="C652" s="5"/>
      <c r="D652" s="12"/>
      <c r="E652" s="35"/>
      <c r="F652" s="36"/>
      <c r="G652" s="5"/>
      <c r="H652" s="5"/>
    </row>
    <row r="653">
      <c r="A653" s="25"/>
      <c r="B653" s="34"/>
      <c r="C653" s="5"/>
      <c r="D653" s="12"/>
      <c r="E653" s="35"/>
      <c r="F653" s="36"/>
      <c r="G653" s="5"/>
      <c r="H653" s="5"/>
    </row>
    <row r="654">
      <c r="A654" s="25"/>
      <c r="B654" s="34"/>
      <c r="C654" s="5"/>
      <c r="D654" s="12"/>
      <c r="E654" s="35"/>
      <c r="F654" s="36"/>
      <c r="G654" s="5"/>
      <c r="H654" s="5"/>
    </row>
    <row r="655">
      <c r="A655" s="25"/>
      <c r="B655" s="34"/>
      <c r="C655" s="5"/>
      <c r="D655" s="12"/>
      <c r="E655" s="35"/>
      <c r="F655" s="36"/>
      <c r="G655" s="5"/>
      <c r="H655" s="5"/>
    </row>
    <row r="656">
      <c r="A656" s="25"/>
      <c r="B656" s="34"/>
      <c r="C656" s="5"/>
      <c r="D656" s="12"/>
      <c r="E656" s="35"/>
      <c r="F656" s="36"/>
      <c r="G656" s="5"/>
      <c r="H656" s="5"/>
    </row>
    <row r="657">
      <c r="A657" s="25"/>
      <c r="B657" s="34"/>
      <c r="C657" s="5"/>
      <c r="D657" s="12"/>
      <c r="E657" s="35"/>
      <c r="F657" s="36"/>
      <c r="G657" s="5"/>
      <c r="H657" s="5"/>
    </row>
    <row r="658">
      <c r="A658" s="25"/>
      <c r="B658" s="34"/>
      <c r="C658" s="5"/>
      <c r="D658" s="12"/>
      <c r="E658" s="35"/>
      <c r="F658" s="36"/>
      <c r="G658" s="5"/>
      <c r="H658" s="5"/>
    </row>
    <row r="659">
      <c r="A659" s="25"/>
      <c r="B659" s="34"/>
      <c r="C659" s="5"/>
      <c r="D659" s="12"/>
      <c r="E659" s="35"/>
      <c r="F659" s="36"/>
      <c r="G659" s="5"/>
      <c r="H659" s="5"/>
    </row>
    <row r="660">
      <c r="A660" s="25"/>
      <c r="B660" s="34"/>
      <c r="C660" s="5"/>
      <c r="D660" s="12"/>
      <c r="E660" s="35"/>
      <c r="F660" s="36"/>
      <c r="G660" s="5"/>
      <c r="H660" s="5"/>
    </row>
    <row r="661">
      <c r="A661" s="25"/>
      <c r="B661" s="34"/>
      <c r="C661" s="5"/>
      <c r="D661" s="12"/>
      <c r="E661" s="35"/>
      <c r="F661" s="36"/>
      <c r="G661" s="5"/>
      <c r="H661" s="5"/>
    </row>
    <row r="662">
      <c r="A662" s="25"/>
      <c r="B662" s="34"/>
      <c r="C662" s="5"/>
      <c r="D662" s="12"/>
      <c r="E662" s="35"/>
      <c r="F662" s="36"/>
      <c r="G662" s="5"/>
      <c r="H662" s="5"/>
    </row>
    <row r="663">
      <c r="A663" s="25"/>
      <c r="B663" s="42"/>
      <c r="C663" s="5"/>
      <c r="D663" s="12"/>
      <c r="E663" s="35"/>
      <c r="F663" s="5"/>
      <c r="G663" s="5"/>
      <c r="H663" s="5"/>
    </row>
    <row r="664">
      <c r="A664" s="25"/>
      <c r="B664" s="42"/>
      <c r="C664" s="5"/>
      <c r="D664" s="12"/>
      <c r="E664" s="35"/>
      <c r="F664" s="5"/>
      <c r="G664" s="5"/>
      <c r="H664" s="5"/>
    </row>
    <row r="665">
      <c r="A665" s="25"/>
      <c r="B665" s="42"/>
      <c r="C665" s="5"/>
      <c r="D665" s="12"/>
      <c r="E665" s="35"/>
      <c r="F665" s="5"/>
      <c r="G665" s="5"/>
      <c r="H665" s="5"/>
    </row>
    <row r="666">
      <c r="A666" s="25"/>
      <c r="B666" s="42"/>
      <c r="C666" s="5"/>
      <c r="D666" s="12"/>
      <c r="E666" s="35"/>
      <c r="F666" s="5"/>
      <c r="G666" s="5"/>
      <c r="H666" s="5"/>
    </row>
    <row r="667">
      <c r="A667" s="25"/>
      <c r="B667" s="42"/>
      <c r="C667" s="5"/>
      <c r="D667" s="12"/>
      <c r="E667" s="35"/>
      <c r="F667" s="5"/>
      <c r="G667" s="5"/>
      <c r="H667" s="5"/>
    </row>
    <row r="668">
      <c r="A668" s="25"/>
      <c r="B668" s="42"/>
      <c r="C668" s="5"/>
      <c r="D668" s="12"/>
      <c r="E668" s="35"/>
      <c r="F668" s="5"/>
      <c r="G668" s="5"/>
      <c r="H668" s="5"/>
    </row>
    <row r="669">
      <c r="A669" s="25"/>
      <c r="B669" s="42"/>
      <c r="C669" s="5"/>
      <c r="D669" s="12"/>
      <c r="E669" s="35"/>
      <c r="F669" s="5"/>
      <c r="G669" s="5"/>
      <c r="H669" s="5"/>
    </row>
    <row r="670">
      <c r="A670" s="25"/>
      <c r="B670" s="42"/>
      <c r="C670" s="5"/>
      <c r="D670" s="12"/>
      <c r="E670" s="35"/>
      <c r="F670" s="5"/>
      <c r="G670" s="5"/>
      <c r="H670" s="5"/>
    </row>
    <row r="671">
      <c r="A671" s="25"/>
      <c r="B671" s="42"/>
      <c r="C671" s="5"/>
      <c r="D671" s="12"/>
      <c r="E671" s="35"/>
      <c r="F671" s="5"/>
      <c r="G671" s="5"/>
      <c r="H671" s="5"/>
    </row>
    <row r="672">
      <c r="A672" s="25"/>
      <c r="B672" s="42"/>
      <c r="C672" s="5"/>
      <c r="D672" s="12"/>
      <c r="E672" s="35"/>
      <c r="F672" s="5"/>
      <c r="G672" s="5"/>
      <c r="H672" s="5"/>
    </row>
    <row r="673">
      <c r="A673" s="25"/>
      <c r="B673" s="42"/>
      <c r="C673" s="5"/>
      <c r="D673" s="12"/>
      <c r="E673" s="35"/>
      <c r="F673" s="5"/>
      <c r="G673" s="5"/>
      <c r="H673" s="5"/>
    </row>
    <row r="674">
      <c r="A674" s="25"/>
      <c r="B674" s="42"/>
      <c r="C674" s="5"/>
      <c r="D674" s="12"/>
      <c r="E674" s="35"/>
      <c r="F674" s="5"/>
      <c r="G674" s="5"/>
      <c r="H674" s="5"/>
    </row>
    <row r="675">
      <c r="A675" s="25"/>
      <c r="B675" s="42"/>
      <c r="C675" s="5"/>
      <c r="D675" s="12"/>
      <c r="E675" s="35"/>
      <c r="F675" s="5"/>
      <c r="G675" s="5"/>
      <c r="H675" s="5"/>
    </row>
    <row r="676">
      <c r="A676" s="25"/>
      <c r="B676" s="42"/>
      <c r="C676" s="5"/>
      <c r="D676" s="12"/>
      <c r="E676" s="35"/>
      <c r="F676" s="5"/>
      <c r="G676" s="5"/>
      <c r="H676" s="5"/>
    </row>
    <row r="677">
      <c r="A677" s="25"/>
      <c r="B677" s="42"/>
      <c r="C677" s="5"/>
      <c r="D677" s="12"/>
      <c r="E677" s="35"/>
      <c r="F677" s="5"/>
      <c r="G677" s="5"/>
      <c r="H677" s="5"/>
    </row>
    <row r="678">
      <c r="A678" s="25"/>
      <c r="B678" s="42"/>
      <c r="C678" s="5"/>
      <c r="D678" s="12"/>
      <c r="E678" s="35"/>
      <c r="F678" s="5"/>
      <c r="G678" s="5"/>
      <c r="H678" s="5"/>
    </row>
    <row r="679">
      <c r="A679" s="25"/>
      <c r="B679" s="42"/>
      <c r="C679" s="5"/>
      <c r="D679" s="12"/>
      <c r="E679" s="35"/>
      <c r="F679" s="5"/>
      <c r="G679" s="5"/>
      <c r="H679" s="5"/>
    </row>
    <row r="680">
      <c r="A680" s="25"/>
      <c r="B680" s="42"/>
      <c r="C680" s="5"/>
      <c r="D680" s="12"/>
      <c r="E680" s="35"/>
      <c r="F680" s="5"/>
      <c r="G680" s="5"/>
      <c r="H680" s="5"/>
    </row>
    <row r="681">
      <c r="A681" s="25"/>
      <c r="B681" s="42"/>
      <c r="C681" s="5"/>
      <c r="D681" s="12"/>
      <c r="E681" s="35"/>
      <c r="F681" s="5"/>
      <c r="G681" s="5"/>
      <c r="H681" s="5"/>
    </row>
    <row r="682">
      <c r="A682" s="25"/>
      <c r="B682" s="42"/>
      <c r="C682" s="5"/>
      <c r="D682" s="12"/>
      <c r="E682" s="35"/>
      <c r="F682" s="5"/>
      <c r="G682" s="5"/>
      <c r="H682" s="5"/>
    </row>
    <row r="683">
      <c r="A683" s="25"/>
      <c r="B683" s="42"/>
      <c r="C683" s="5"/>
      <c r="D683" s="12"/>
      <c r="E683" s="35"/>
      <c r="F683" s="5"/>
      <c r="G683" s="5"/>
      <c r="H683" s="5"/>
    </row>
    <row r="684">
      <c r="A684" s="25"/>
      <c r="B684" s="42"/>
      <c r="C684" s="5"/>
      <c r="D684" s="12"/>
      <c r="E684" s="35"/>
      <c r="F684" s="5"/>
      <c r="G684" s="5"/>
      <c r="H684" s="5"/>
    </row>
    <row r="685">
      <c r="A685" s="25"/>
      <c r="B685" s="42"/>
      <c r="C685" s="5"/>
      <c r="D685" s="12"/>
      <c r="E685" s="35"/>
      <c r="F685" s="5"/>
      <c r="G685" s="5"/>
      <c r="H685" s="5"/>
    </row>
    <row r="686">
      <c r="A686" s="25"/>
      <c r="B686" s="42"/>
      <c r="C686" s="5"/>
      <c r="D686" s="12"/>
      <c r="E686" s="35"/>
      <c r="F686" s="5"/>
      <c r="G686" s="5"/>
      <c r="H686" s="5"/>
    </row>
    <row r="687">
      <c r="A687" s="25"/>
      <c r="B687" s="42"/>
      <c r="C687" s="5"/>
      <c r="D687" s="12"/>
      <c r="E687" s="35"/>
      <c r="F687" s="5"/>
      <c r="G687" s="5"/>
      <c r="H687" s="5"/>
    </row>
    <row r="688">
      <c r="A688" s="25"/>
      <c r="B688" s="42"/>
      <c r="C688" s="5"/>
      <c r="D688" s="12"/>
      <c r="E688" s="35"/>
      <c r="F688" s="5"/>
      <c r="G688" s="5"/>
      <c r="H688" s="5"/>
    </row>
    <row r="689">
      <c r="A689" s="25"/>
      <c r="B689" s="42"/>
      <c r="C689" s="5"/>
      <c r="D689" s="12"/>
      <c r="E689" s="35"/>
      <c r="F689" s="5"/>
      <c r="G689" s="5"/>
      <c r="H689" s="5"/>
    </row>
    <row r="690">
      <c r="A690" s="25"/>
      <c r="B690" s="42"/>
      <c r="C690" s="5"/>
      <c r="D690" s="12"/>
      <c r="E690" s="35"/>
      <c r="F690" s="5"/>
      <c r="G690" s="5"/>
      <c r="H690" s="5"/>
    </row>
    <row r="691">
      <c r="A691" s="25"/>
      <c r="B691" s="42"/>
      <c r="C691" s="5"/>
      <c r="D691" s="12"/>
      <c r="E691" s="35"/>
      <c r="F691" s="5"/>
      <c r="G691" s="5"/>
      <c r="H691" s="5"/>
    </row>
    <row r="692">
      <c r="A692" s="25"/>
      <c r="B692" s="42"/>
      <c r="C692" s="5"/>
      <c r="D692" s="12"/>
      <c r="E692" s="35"/>
      <c r="F692" s="5"/>
      <c r="G692" s="5"/>
      <c r="H692" s="5"/>
    </row>
    <row r="693">
      <c r="A693" s="25"/>
      <c r="B693" s="42"/>
      <c r="C693" s="5"/>
      <c r="D693" s="12"/>
      <c r="E693" s="35"/>
      <c r="F693" s="5"/>
      <c r="G693" s="5"/>
      <c r="H693" s="5"/>
    </row>
    <row r="694">
      <c r="A694" s="25"/>
      <c r="B694" s="42"/>
      <c r="C694" s="5"/>
      <c r="D694" s="12"/>
      <c r="E694" s="35"/>
      <c r="F694" s="5"/>
      <c r="H694" s="5"/>
    </row>
    <row r="695">
      <c r="A695" s="25"/>
      <c r="B695" s="42"/>
      <c r="C695" s="5"/>
      <c r="D695" s="12"/>
      <c r="E695" s="35"/>
      <c r="F695" s="5"/>
      <c r="H695" s="5"/>
    </row>
    <row r="696">
      <c r="A696" s="25"/>
      <c r="B696" s="42"/>
      <c r="C696" s="5"/>
      <c r="D696" s="12"/>
      <c r="E696" s="35"/>
      <c r="F696" s="5"/>
      <c r="H696" s="5"/>
    </row>
    <row r="697">
      <c r="A697" s="25"/>
      <c r="B697" s="42"/>
      <c r="C697" s="5"/>
      <c r="D697" s="12"/>
      <c r="E697" s="35"/>
      <c r="F697" s="5"/>
      <c r="H697" s="5"/>
    </row>
    <row r="698">
      <c r="A698" s="25"/>
      <c r="B698" s="42"/>
      <c r="C698" s="5"/>
      <c r="D698" s="12"/>
      <c r="E698" s="35"/>
      <c r="F698" s="5"/>
      <c r="H698" s="5"/>
    </row>
    <row r="699">
      <c r="A699" s="25"/>
      <c r="B699" s="42"/>
      <c r="C699" s="5"/>
      <c r="D699" s="12"/>
      <c r="E699" s="35"/>
      <c r="F699" s="5"/>
      <c r="H699" s="5"/>
    </row>
    <row r="700">
      <c r="A700" s="25"/>
      <c r="B700" s="42"/>
      <c r="C700" s="5"/>
      <c r="D700" s="12"/>
      <c r="E700" s="35"/>
      <c r="F700" s="5"/>
      <c r="H700" s="5"/>
    </row>
    <row r="701">
      <c r="A701" s="25"/>
      <c r="B701" s="42"/>
      <c r="C701" s="5"/>
      <c r="D701" s="12"/>
      <c r="E701" s="35"/>
      <c r="F701" s="5"/>
      <c r="H701" s="5"/>
    </row>
    <row r="702">
      <c r="A702" s="25"/>
      <c r="B702" s="42"/>
      <c r="C702" s="5"/>
      <c r="D702" s="12"/>
      <c r="E702" s="35"/>
      <c r="F702" s="5"/>
      <c r="H702" s="5"/>
    </row>
    <row r="703">
      <c r="A703" s="25"/>
      <c r="B703" s="42"/>
      <c r="C703" s="5"/>
      <c r="D703" s="12"/>
      <c r="E703" s="35"/>
      <c r="F703" s="5"/>
      <c r="H703" s="5"/>
    </row>
    <row r="704">
      <c r="A704" s="25"/>
      <c r="B704" s="42"/>
      <c r="C704" s="5"/>
      <c r="D704" s="12"/>
      <c r="E704" s="35"/>
      <c r="F704" s="5"/>
      <c r="H704" s="5"/>
    </row>
    <row r="705">
      <c r="A705" s="25"/>
      <c r="B705" s="42"/>
      <c r="C705" s="5"/>
      <c r="D705" s="12"/>
      <c r="E705" s="35"/>
      <c r="F705" s="5"/>
      <c r="H705" s="5"/>
    </row>
    <row r="706">
      <c r="A706" s="25"/>
      <c r="B706" s="42"/>
      <c r="C706" s="5"/>
      <c r="D706" s="12"/>
      <c r="E706" s="35"/>
      <c r="F706" s="5"/>
      <c r="H706" s="5"/>
    </row>
    <row r="707">
      <c r="A707" s="25"/>
      <c r="B707" s="42"/>
      <c r="C707" s="5"/>
      <c r="D707" s="12"/>
      <c r="E707" s="35"/>
      <c r="F707" s="5"/>
      <c r="H707" s="5"/>
    </row>
    <row r="708">
      <c r="A708" s="25"/>
      <c r="B708" s="42"/>
      <c r="C708" s="5"/>
      <c r="D708" s="12"/>
      <c r="E708" s="35"/>
      <c r="F708" s="5"/>
      <c r="H708" s="5"/>
    </row>
    <row r="709">
      <c r="A709" s="25"/>
      <c r="B709" s="42"/>
      <c r="C709" s="5"/>
      <c r="D709" s="12"/>
      <c r="E709" s="35"/>
      <c r="F709" s="5"/>
      <c r="H709" s="5"/>
    </row>
    <row r="710">
      <c r="A710" s="25"/>
      <c r="B710" s="42"/>
      <c r="C710" s="5"/>
      <c r="D710" s="12"/>
      <c r="E710" s="35"/>
      <c r="F710" s="5"/>
      <c r="H710" s="5"/>
    </row>
    <row r="711">
      <c r="A711" s="25"/>
      <c r="B711" s="42"/>
      <c r="C711" s="5"/>
      <c r="D711" s="12"/>
      <c r="E711" s="35"/>
      <c r="F711" s="5"/>
      <c r="H711" s="5"/>
    </row>
    <row r="712">
      <c r="A712" s="25"/>
      <c r="B712" s="42"/>
      <c r="C712" s="5"/>
      <c r="D712" s="12"/>
      <c r="E712" s="35"/>
      <c r="F712" s="5"/>
      <c r="H712" s="5"/>
    </row>
    <row r="713">
      <c r="A713" s="25"/>
      <c r="B713" s="42"/>
      <c r="C713" s="5"/>
      <c r="D713" s="12"/>
      <c r="E713" s="35"/>
      <c r="F713" s="5"/>
      <c r="H713" s="5"/>
    </row>
    <row r="714">
      <c r="A714" s="25"/>
      <c r="B714" s="42"/>
      <c r="C714" s="5"/>
      <c r="D714" s="12"/>
      <c r="E714" s="35"/>
      <c r="F714" s="5"/>
      <c r="H714" s="5"/>
    </row>
    <row r="715">
      <c r="A715" s="25"/>
      <c r="B715" s="42"/>
      <c r="C715" s="5"/>
      <c r="D715" s="12"/>
      <c r="E715" s="35"/>
      <c r="F715" s="5"/>
      <c r="H715" s="5"/>
    </row>
    <row r="716">
      <c r="A716" s="25"/>
      <c r="B716" s="42"/>
      <c r="C716" s="5"/>
      <c r="D716" s="12"/>
      <c r="E716" s="35"/>
      <c r="F716" s="5"/>
      <c r="H716" s="5"/>
    </row>
    <row r="717">
      <c r="A717" s="25"/>
      <c r="B717" s="42"/>
      <c r="C717" s="5"/>
      <c r="D717" s="12"/>
      <c r="E717" s="35"/>
      <c r="F717" s="5"/>
      <c r="H717" s="5"/>
    </row>
    <row r="718">
      <c r="A718" s="25"/>
      <c r="B718" s="42"/>
      <c r="C718" s="5"/>
      <c r="D718" s="12"/>
      <c r="E718" s="35"/>
      <c r="F718" s="5"/>
      <c r="H718" s="5"/>
    </row>
    <row r="719">
      <c r="A719" s="25"/>
      <c r="B719" s="42"/>
      <c r="C719" s="5"/>
      <c r="D719" s="12"/>
      <c r="E719" s="35"/>
      <c r="F719" s="5"/>
      <c r="H719" s="5"/>
    </row>
    <row r="720">
      <c r="A720" s="25"/>
      <c r="B720" s="42"/>
      <c r="C720" s="5"/>
      <c r="D720" s="12"/>
      <c r="E720" s="35"/>
      <c r="F720" s="5"/>
      <c r="H720" s="5"/>
    </row>
    <row r="721">
      <c r="A721" s="25"/>
      <c r="B721" s="42"/>
      <c r="C721" s="5"/>
      <c r="D721" s="12"/>
      <c r="E721" s="35"/>
      <c r="F721" s="5"/>
      <c r="H721" s="5"/>
    </row>
    <row r="722">
      <c r="A722" s="25"/>
      <c r="B722" s="42"/>
      <c r="C722" s="5"/>
      <c r="D722" s="12"/>
      <c r="E722" s="35"/>
      <c r="F722" s="5"/>
      <c r="H722" s="5"/>
    </row>
    <row r="723">
      <c r="A723" s="25"/>
      <c r="B723" s="42"/>
      <c r="C723" s="5"/>
      <c r="D723" s="12"/>
      <c r="E723" s="35"/>
      <c r="F723" s="5"/>
      <c r="H723" s="5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2</v>
      </c>
      <c r="C1" s="1" t="s">
        <v>3</v>
      </c>
      <c r="D1" s="37" t="s">
        <v>7</v>
      </c>
      <c r="E1" s="1" t="s">
        <v>323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38">
        <v>43866.0</v>
      </c>
      <c r="B2" s="39">
        <v>0.6208333333333333</v>
      </c>
      <c r="C2" s="5" t="s">
        <v>60</v>
      </c>
      <c r="D2" s="40">
        <v>2054.74</v>
      </c>
      <c r="E2" s="5" t="s">
        <v>326</v>
      </c>
    </row>
    <row r="3">
      <c r="A3" s="38">
        <v>43866.0</v>
      </c>
      <c r="B3" s="39">
        <v>0.5125</v>
      </c>
      <c r="C3" s="5" t="s">
        <v>151</v>
      </c>
      <c r="D3" s="40">
        <v>15.75</v>
      </c>
      <c r="E3" s="5" t="s">
        <v>326</v>
      </c>
    </row>
    <row r="4">
      <c r="A4" s="38">
        <v>43866.0</v>
      </c>
      <c r="B4" s="39">
        <v>0.4895833333333333</v>
      </c>
      <c r="C4" s="5" t="s">
        <v>328</v>
      </c>
      <c r="D4" s="40">
        <v>323.79</v>
      </c>
      <c r="E4" s="5" t="s">
        <v>326</v>
      </c>
    </row>
    <row r="5">
      <c r="A5" s="38">
        <v>43866.0</v>
      </c>
      <c r="B5" s="39">
        <v>0.45625</v>
      </c>
      <c r="C5" s="5" t="s">
        <v>103</v>
      </c>
      <c r="D5" s="40">
        <v>130.06</v>
      </c>
      <c r="E5" s="5" t="s">
        <v>326</v>
      </c>
    </row>
    <row r="6">
      <c r="A6" s="38">
        <v>43866.0</v>
      </c>
      <c r="B6" s="39">
        <v>0.40069444444444446</v>
      </c>
      <c r="C6" s="5" t="s">
        <v>329</v>
      </c>
      <c r="D6" s="40">
        <v>29.065</v>
      </c>
      <c r="E6" s="5" t="s">
        <v>326</v>
      </c>
    </row>
    <row r="7">
      <c r="A7" s="38">
        <v>43865.0</v>
      </c>
      <c r="B7" s="39">
        <v>0.5847222222222223</v>
      </c>
      <c r="C7" s="5" t="s">
        <v>331</v>
      </c>
      <c r="D7" s="40">
        <v>49.9</v>
      </c>
      <c r="E7" s="5" t="s">
        <v>326</v>
      </c>
    </row>
    <row r="8">
      <c r="A8" s="38">
        <v>43865.0</v>
      </c>
      <c r="B8" s="39">
        <v>0.4534722222222222</v>
      </c>
      <c r="C8" s="5" t="s">
        <v>332</v>
      </c>
      <c r="D8" s="40">
        <v>72.955</v>
      </c>
      <c r="E8" s="5" t="s">
        <v>326</v>
      </c>
    </row>
    <row r="9">
      <c r="A9" s="38">
        <v>43865.0</v>
      </c>
      <c r="B9" s="39">
        <v>0.4076388888888889</v>
      </c>
      <c r="C9" s="5" t="s">
        <v>334</v>
      </c>
      <c r="D9" s="40">
        <v>284.925</v>
      </c>
      <c r="E9" s="5" t="s">
        <v>326</v>
      </c>
    </row>
    <row r="10">
      <c r="A10" s="38">
        <v>43865.0</v>
      </c>
      <c r="B10" s="39">
        <v>0.4</v>
      </c>
      <c r="C10" s="5" t="s">
        <v>335</v>
      </c>
      <c r="D10" s="40">
        <v>2.865</v>
      </c>
      <c r="E10" s="5" t="s">
        <v>326</v>
      </c>
    </row>
    <row r="11">
      <c r="A11" s="38">
        <v>43864.0</v>
      </c>
      <c r="B11" s="39">
        <v>0.4673611111111111</v>
      </c>
      <c r="C11" s="5" t="s">
        <v>337</v>
      </c>
      <c r="D11" s="40">
        <v>6.38</v>
      </c>
      <c r="E11" s="5" t="s">
        <v>326</v>
      </c>
    </row>
    <row r="12">
      <c r="A12" s="38">
        <v>43864.0</v>
      </c>
      <c r="B12" s="39">
        <v>0.4152777777777778</v>
      </c>
      <c r="C12" s="5" t="s">
        <v>338</v>
      </c>
      <c r="D12" s="40">
        <v>67.025</v>
      </c>
      <c r="E12" s="5" t="s">
        <v>326</v>
      </c>
    </row>
    <row r="13">
      <c r="A13" s="38">
        <v>43864.0</v>
      </c>
      <c r="B13" s="39">
        <v>0.40555555555555556</v>
      </c>
      <c r="C13" s="5" t="s">
        <v>268</v>
      </c>
      <c r="D13" s="40">
        <v>351.175</v>
      </c>
      <c r="E13" s="5" t="s">
        <v>326</v>
      </c>
    </row>
    <row r="14">
      <c r="A14" s="38">
        <v>43864.0</v>
      </c>
      <c r="B14" s="39">
        <v>0.3993055555555556</v>
      </c>
      <c r="C14" s="5" t="s">
        <v>339</v>
      </c>
      <c r="D14" s="40">
        <v>79.805</v>
      </c>
      <c r="E14" s="5" t="s">
        <v>326</v>
      </c>
    </row>
    <row r="15">
      <c r="A15" s="38">
        <v>43861.0</v>
      </c>
      <c r="B15" s="39">
        <v>0.5395833333333333</v>
      </c>
      <c r="C15" s="5" t="s">
        <v>160</v>
      </c>
      <c r="D15" s="40">
        <v>15.96</v>
      </c>
      <c r="E15" s="5" t="s">
        <v>341</v>
      </c>
    </row>
    <row r="16">
      <c r="A16" s="38">
        <v>43861.0</v>
      </c>
      <c r="B16" s="39">
        <v>0.4888888888888889</v>
      </c>
      <c r="C16" s="5" t="s">
        <v>170</v>
      </c>
      <c r="D16" s="40">
        <v>138.375</v>
      </c>
      <c r="E16" s="5" t="s">
        <v>326</v>
      </c>
    </row>
    <row r="17">
      <c r="A17" s="38">
        <v>43861.0</v>
      </c>
      <c r="B17" s="39">
        <v>0.41805555555555557</v>
      </c>
      <c r="C17" s="5" t="s">
        <v>266</v>
      </c>
      <c r="D17" s="40">
        <v>37.35</v>
      </c>
      <c r="E17" s="5" t="s">
        <v>326</v>
      </c>
    </row>
    <row r="18">
      <c r="A18" s="38">
        <v>43860.0</v>
      </c>
      <c r="B18" s="39">
        <v>0.475</v>
      </c>
      <c r="C18" s="5" t="s">
        <v>342</v>
      </c>
      <c r="D18" s="40">
        <v>24.745</v>
      </c>
      <c r="E18" s="5" t="s">
        <v>326</v>
      </c>
    </row>
    <row r="19">
      <c r="A19" s="38">
        <v>43860.0</v>
      </c>
      <c r="B19" s="39">
        <v>0.4076388888888889</v>
      </c>
      <c r="C19" s="5" t="s">
        <v>343</v>
      </c>
      <c r="D19" s="40">
        <v>245.98</v>
      </c>
      <c r="E19" s="5" t="s">
        <v>326</v>
      </c>
    </row>
    <row r="20">
      <c r="A20" s="38">
        <v>43859.0</v>
      </c>
      <c r="B20" s="39">
        <v>0.43125</v>
      </c>
      <c r="C20" s="5" t="s">
        <v>250</v>
      </c>
      <c r="D20" s="40">
        <v>15.87</v>
      </c>
      <c r="E20" s="5" t="s">
        <v>326</v>
      </c>
    </row>
    <row r="21">
      <c r="A21" s="38">
        <v>43859.0</v>
      </c>
      <c r="B21" s="39">
        <v>0.4270833333333333</v>
      </c>
      <c r="C21" s="5" t="s">
        <v>344</v>
      </c>
      <c r="D21" s="40">
        <v>150.53</v>
      </c>
      <c r="E21" s="5" t="s">
        <v>326</v>
      </c>
    </row>
    <row r="22">
      <c r="A22" s="38">
        <v>43858.0</v>
      </c>
      <c r="B22" s="39">
        <v>0.475</v>
      </c>
      <c r="C22" s="5" t="s">
        <v>177</v>
      </c>
      <c r="D22" s="40">
        <v>88.16</v>
      </c>
      <c r="E22" s="5" t="s">
        <v>326</v>
      </c>
    </row>
    <row r="23">
      <c r="A23" s="38">
        <v>43858.0</v>
      </c>
      <c r="B23" s="39">
        <v>0.4479166666666667</v>
      </c>
      <c r="C23" s="5" t="s">
        <v>170</v>
      </c>
      <c r="D23" s="40">
        <v>137.89</v>
      </c>
      <c r="E23" s="5" t="s">
        <v>326</v>
      </c>
    </row>
    <row r="24">
      <c r="A24" s="38">
        <v>43858.0</v>
      </c>
      <c r="B24" s="39">
        <v>0.41597222222222224</v>
      </c>
      <c r="C24" s="5" t="s">
        <v>345</v>
      </c>
      <c r="D24" s="40">
        <v>73.24</v>
      </c>
      <c r="E24" s="5" t="s">
        <v>326</v>
      </c>
    </row>
    <row r="25">
      <c r="A25" s="38">
        <v>43858.0</v>
      </c>
      <c r="B25" s="39">
        <v>0.41041666666666665</v>
      </c>
      <c r="C25" s="5" t="s">
        <v>346</v>
      </c>
      <c r="D25" s="40">
        <v>59.095</v>
      </c>
      <c r="E25" s="5" t="s">
        <v>326</v>
      </c>
    </row>
    <row r="26">
      <c r="A26" s="38">
        <v>43857.0</v>
      </c>
      <c r="B26" s="39">
        <v>0.6090277777777777</v>
      </c>
      <c r="C26" s="5" t="s">
        <v>347</v>
      </c>
      <c r="D26" s="40">
        <v>116.035</v>
      </c>
      <c r="E26" s="5" t="s">
        <v>326</v>
      </c>
    </row>
    <row r="27">
      <c r="A27" s="38">
        <v>43857.0</v>
      </c>
      <c r="B27" s="39">
        <v>0.4326388888888889</v>
      </c>
      <c r="C27" s="5" t="s">
        <v>348</v>
      </c>
      <c r="D27" s="40">
        <v>6.34</v>
      </c>
      <c r="E27" s="5" t="s">
        <v>326</v>
      </c>
    </row>
    <row r="28">
      <c r="A28" s="38">
        <v>43857.0</v>
      </c>
      <c r="B28" s="39">
        <v>0.4215277777777778</v>
      </c>
      <c r="C28" s="5" t="s">
        <v>102</v>
      </c>
      <c r="D28" s="40">
        <v>148.89</v>
      </c>
      <c r="E28" s="5" t="s">
        <v>326</v>
      </c>
    </row>
    <row r="29">
      <c r="A29" s="38">
        <v>43854.0</v>
      </c>
      <c r="B29" s="39">
        <v>0.5069444444444444</v>
      </c>
      <c r="C29" s="5" t="s">
        <v>350</v>
      </c>
      <c r="D29" s="40">
        <v>39.37</v>
      </c>
      <c r="E29" s="5" t="s">
        <v>341</v>
      </c>
    </row>
    <row r="30">
      <c r="A30" s="38">
        <v>43854.0</v>
      </c>
      <c r="B30" s="39">
        <v>0.5</v>
      </c>
      <c r="C30" s="5" t="s">
        <v>124</v>
      </c>
      <c r="D30" s="40">
        <v>33.275</v>
      </c>
      <c r="E30" s="5" t="s">
        <v>341</v>
      </c>
    </row>
    <row r="31">
      <c r="A31" s="38">
        <v>43854.0</v>
      </c>
      <c r="B31" s="39">
        <v>0.425</v>
      </c>
      <c r="C31" s="5" t="s">
        <v>160</v>
      </c>
      <c r="D31" s="40">
        <v>17.03</v>
      </c>
      <c r="E31" s="5" t="s">
        <v>326</v>
      </c>
    </row>
    <row r="32">
      <c r="A32" s="38">
        <v>43854.0</v>
      </c>
      <c r="B32" s="39">
        <v>0.4083333333333333</v>
      </c>
      <c r="C32" s="5" t="s">
        <v>351</v>
      </c>
      <c r="D32" s="40">
        <v>123.95</v>
      </c>
      <c r="E32" s="5" t="s">
        <v>326</v>
      </c>
    </row>
    <row r="33">
      <c r="A33" s="38">
        <v>43853.0</v>
      </c>
      <c r="B33" s="39">
        <v>0.5430555555555555</v>
      </c>
      <c r="C33" s="5" t="s">
        <v>37</v>
      </c>
      <c r="D33" s="40">
        <v>22.78</v>
      </c>
      <c r="E33" s="5" t="s">
        <v>326</v>
      </c>
    </row>
    <row r="34">
      <c r="A34" s="38">
        <v>43853.0</v>
      </c>
      <c r="B34" s="39">
        <v>0.5270833333333333</v>
      </c>
      <c r="C34" s="5" t="s">
        <v>352</v>
      </c>
      <c r="D34" s="40">
        <v>11.865</v>
      </c>
      <c r="E34" s="5" t="s">
        <v>326</v>
      </c>
    </row>
    <row r="35">
      <c r="A35" s="38">
        <v>43853.0</v>
      </c>
      <c r="B35" s="39">
        <v>0.4284722222222222</v>
      </c>
      <c r="C35" s="5" t="s">
        <v>268</v>
      </c>
      <c r="D35" s="40">
        <v>333.845</v>
      </c>
      <c r="E35" s="5" t="s">
        <v>326</v>
      </c>
    </row>
    <row r="36">
      <c r="A36" s="38">
        <v>43853.0</v>
      </c>
      <c r="B36" s="39">
        <v>0.42083333333333334</v>
      </c>
      <c r="C36" s="5" t="s">
        <v>353</v>
      </c>
      <c r="D36" s="40">
        <v>113.16</v>
      </c>
      <c r="E36" s="5" t="s">
        <v>326</v>
      </c>
    </row>
    <row r="37">
      <c r="A37" s="38">
        <v>43853.0</v>
      </c>
      <c r="B37" s="39">
        <v>0.41180555555555554</v>
      </c>
      <c r="C37" s="5" t="s">
        <v>355</v>
      </c>
      <c r="D37" s="40">
        <v>182.71</v>
      </c>
      <c r="E37" s="5" t="s">
        <v>326</v>
      </c>
    </row>
    <row r="38">
      <c r="A38" s="38">
        <v>43852.0</v>
      </c>
      <c r="B38" s="39">
        <v>0.45</v>
      </c>
      <c r="C38" s="5" t="s">
        <v>356</v>
      </c>
      <c r="D38" s="40">
        <v>60.23</v>
      </c>
      <c r="E38" s="5" t="s">
        <v>326</v>
      </c>
    </row>
    <row r="39">
      <c r="A39" s="38">
        <v>43852.0</v>
      </c>
      <c r="B39" s="39">
        <v>0.40208333333333335</v>
      </c>
      <c r="C39" s="5" t="s">
        <v>357</v>
      </c>
      <c r="D39" s="40">
        <v>105.48</v>
      </c>
      <c r="E39" s="5" t="s">
        <v>326</v>
      </c>
    </row>
    <row r="40">
      <c r="A40" s="38">
        <v>43851.0</v>
      </c>
      <c r="B40" s="39">
        <v>0.4638888888888889</v>
      </c>
      <c r="C40" s="5" t="s">
        <v>220</v>
      </c>
      <c r="D40" s="40">
        <v>544.355</v>
      </c>
      <c r="E40" s="5" t="s">
        <v>326</v>
      </c>
    </row>
    <row r="41">
      <c r="A41" s="38">
        <v>43851.0</v>
      </c>
      <c r="B41" s="39">
        <v>0.4326388888888889</v>
      </c>
      <c r="C41" s="5" t="s">
        <v>360</v>
      </c>
      <c r="D41" s="40">
        <v>1475.91</v>
      </c>
      <c r="E41" s="5" t="s">
        <v>326</v>
      </c>
    </row>
    <row r="42">
      <c r="A42" s="38">
        <v>43851.0</v>
      </c>
      <c r="B42" s="39">
        <v>0.40555555555555556</v>
      </c>
      <c r="C42" s="5" t="s">
        <v>355</v>
      </c>
      <c r="D42" s="40">
        <v>182.945</v>
      </c>
      <c r="E42" s="5" t="s">
        <v>326</v>
      </c>
    </row>
    <row r="43">
      <c r="A43" s="38">
        <v>43847.0</v>
      </c>
      <c r="B43" s="39">
        <v>0.5263888888888889</v>
      </c>
      <c r="C43" s="5" t="s">
        <v>124</v>
      </c>
      <c r="D43" s="40">
        <v>33.945</v>
      </c>
      <c r="E43" s="5" t="s">
        <v>326</v>
      </c>
    </row>
    <row r="44">
      <c r="A44" s="38">
        <v>43847.0</v>
      </c>
      <c r="B44" s="39">
        <v>0.4222222222222222</v>
      </c>
      <c r="C44" s="5" t="s">
        <v>361</v>
      </c>
      <c r="D44" s="40">
        <v>33.34</v>
      </c>
      <c r="E44" s="5" t="s">
        <v>326</v>
      </c>
    </row>
    <row r="45">
      <c r="A45" s="38">
        <v>43846.0</v>
      </c>
      <c r="B45" s="39">
        <v>0.6541666666666667</v>
      </c>
      <c r="C45" s="5" t="s">
        <v>362</v>
      </c>
      <c r="D45" s="40">
        <v>48.93</v>
      </c>
      <c r="E45" s="5" t="s">
        <v>326</v>
      </c>
    </row>
    <row r="46">
      <c r="D46" s="41"/>
    </row>
    <row r="47">
      <c r="D47" s="41"/>
    </row>
    <row r="48">
      <c r="D48" s="41"/>
    </row>
    <row r="49">
      <c r="D49" s="41"/>
    </row>
    <row r="50">
      <c r="D50" s="41"/>
    </row>
    <row r="51">
      <c r="D51" s="41"/>
    </row>
    <row r="52">
      <c r="D52" s="41"/>
    </row>
    <row r="53">
      <c r="D53" s="41"/>
    </row>
    <row r="54">
      <c r="D54" s="41"/>
    </row>
    <row r="55">
      <c r="D55" s="41"/>
    </row>
    <row r="56">
      <c r="D56" s="41"/>
    </row>
    <row r="57">
      <c r="D57" s="41"/>
    </row>
    <row r="58">
      <c r="D58" s="41"/>
    </row>
    <row r="59">
      <c r="D59" s="41"/>
    </row>
    <row r="60">
      <c r="D60" s="41"/>
    </row>
    <row r="61">
      <c r="D61" s="41"/>
    </row>
    <row r="62">
      <c r="D62" s="41"/>
    </row>
    <row r="63">
      <c r="D63" s="41"/>
    </row>
    <row r="64">
      <c r="D64" s="41"/>
    </row>
    <row r="65">
      <c r="D65" s="41"/>
    </row>
    <row r="66">
      <c r="D66" s="41"/>
    </row>
    <row r="67">
      <c r="D67" s="41"/>
    </row>
    <row r="68">
      <c r="D68" s="41"/>
    </row>
    <row r="69">
      <c r="D69" s="41"/>
    </row>
    <row r="70">
      <c r="D70" s="41"/>
    </row>
    <row r="71">
      <c r="D71" s="41"/>
    </row>
    <row r="72">
      <c r="D72" s="41"/>
    </row>
    <row r="73">
      <c r="D73" s="41"/>
    </row>
    <row r="74">
      <c r="D74" s="41"/>
    </row>
    <row r="75">
      <c r="D75" s="41"/>
    </row>
    <row r="76">
      <c r="D76" s="41"/>
    </row>
    <row r="77">
      <c r="D77" s="41"/>
    </row>
    <row r="78">
      <c r="D78" s="41"/>
    </row>
    <row r="79">
      <c r="D79" s="41"/>
    </row>
    <row r="80">
      <c r="D80" s="41"/>
    </row>
    <row r="81">
      <c r="D81" s="41"/>
    </row>
    <row r="82">
      <c r="D82" s="41"/>
    </row>
    <row r="83">
      <c r="D83" s="41"/>
    </row>
    <row r="84">
      <c r="D84" s="41"/>
    </row>
    <row r="85">
      <c r="D85" s="41"/>
    </row>
    <row r="86">
      <c r="D86" s="41"/>
    </row>
    <row r="87">
      <c r="D87" s="41"/>
    </row>
    <row r="88">
      <c r="D88" s="41"/>
    </row>
    <row r="89">
      <c r="D89" s="41"/>
    </row>
    <row r="90">
      <c r="D90" s="41"/>
    </row>
    <row r="91">
      <c r="D91" s="41"/>
    </row>
    <row r="92">
      <c r="D92" s="41"/>
    </row>
    <row r="93">
      <c r="D93" s="41"/>
    </row>
    <row r="94">
      <c r="D94" s="41"/>
    </row>
    <row r="95">
      <c r="D95" s="41"/>
    </row>
    <row r="96">
      <c r="D96" s="41"/>
    </row>
    <row r="97">
      <c r="D97" s="41"/>
    </row>
    <row r="98">
      <c r="D98" s="41"/>
    </row>
    <row r="99">
      <c r="D99" s="41"/>
    </row>
    <row r="100">
      <c r="D100" s="41"/>
    </row>
    <row r="101">
      <c r="D101" s="41"/>
    </row>
    <row r="102">
      <c r="D102" s="41"/>
    </row>
    <row r="103">
      <c r="D103" s="41"/>
    </row>
    <row r="104">
      <c r="D104" s="41"/>
    </row>
    <row r="105">
      <c r="D105" s="41"/>
    </row>
    <row r="106">
      <c r="D106" s="41"/>
    </row>
    <row r="107">
      <c r="D107" s="41"/>
    </row>
    <row r="108">
      <c r="D108" s="41"/>
    </row>
    <row r="109">
      <c r="D109" s="41"/>
    </row>
    <row r="110">
      <c r="D110" s="41"/>
    </row>
    <row r="111">
      <c r="D111" s="41"/>
    </row>
    <row r="112">
      <c r="D112" s="41"/>
    </row>
    <row r="113">
      <c r="D113" s="41"/>
    </row>
    <row r="114">
      <c r="D114" s="41"/>
    </row>
    <row r="115">
      <c r="D115" s="41"/>
    </row>
    <row r="116">
      <c r="D116" s="41"/>
    </row>
    <row r="117">
      <c r="D117" s="41"/>
    </row>
    <row r="118">
      <c r="D118" s="41"/>
    </row>
    <row r="119">
      <c r="D119" s="41"/>
    </row>
    <row r="120">
      <c r="D120" s="41"/>
    </row>
    <row r="121">
      <c r="D121" s="41"/>
    </row>
    <row r="122">
      <c r="D122" s="41"/>
    </row>
    <row r="123">
      <c r="D123" s="41"/>
    </row>
    <row r="124">
      <c r="D124" s="41"/>
    </row>
    <row r="125">
      <c r="D125" s="41"/>
    </row>
    <row r="126">
      <c r="D126" s="41"/>
    </row>
    <row r="127">
      <c r="D127" s="41"/>
    </row>
    <row r="128">
      <c r="D128" s="41"/>
    </row>
    <row r="129">
      <c r="D129" s="41"/>
    </row>
    <row r="130">
      <c r="D130" s="41"/>
    </row>
    <row r="131">
      <c r="D131" s="41"/>
    </row>
    <row r="132">
      <c r="D132" s="41"/>
    </row>
    <row r="133">
      <c r="D133" s="41"/>
    </row>
    <row r="134">
      <c r="D134" s="41"/>
    </row>
    <row r="135">
      <c r="D135" s="41"/>
    </row>
    <row r="136">
      <c r="D136" s="41"/>
    </row>
    <row r="137">
      <c r="D137" s="41"/>
    </row>
    <row r="138">
      <c r="D138" s="41"/>
    </row>
    <row r="139">
      <c r="D139" s="41"/>
    </row>
    <row r="140">
      <c r="D140" s="41"/>
    </row>
    <row r="141">
      <c r="D141" s="41"/>
    </row>
    <row r="142">
      <c r="D142" s="41"/>
    </row>
    <row r="143">
      <c r="D143" s="41"/>
    </row>
    <row r="144">
      <c r="D144" s="41"/>
    </row>
    <row r="145">
      <c r="D145" s="41"/>
    </row>
    <row r="146">
      <c r="D146" s="41"/>
    </row>
    <row r="147">
      <c r="D147" s="41"/>
    </row>
    <row r="148">
      <c r="D148" s="41"/>
    </row>
    <row r="149">
      <c r="D149" s="41"/>
    </row>
    <row r="150">
      <c r="D150" s="41"/>
    </row>
    <row r="151">
      <c r="D151" s="41"/>
    </row>
    <row r="152">
      <c r="D152" s="41"/>
    </row>
    <row r="153">
      <c r="D153" s="41"/>
    </row>
    <row r="154">
      <c r="D154" s="41"/>
    </row>
    <row r="155">
      <c r="D155" s="41"/>
    </row>
    <row r="156">
      <c r="D156" s="41"/>
    </row>
    <row r="157">
      <c r="D157" s="41"/>
    </row>
    <row r="158">
      <c r="D158" s="41"/>
    </row>
    <row r="159">
      <c r="D159" s="41"/>
    </row>
    <row r="160">
      <c r="D160" s="41"/>
    </row>
    <row r="161">
      <c r="D161" s="41"/>
    </row>
    <row r="162">
      <c r="D162" s="41"/>
    </row>
    <row r="163">
      <c r="D163" s="41"/>
    </row>
    <row r="164">
      <c r="D164" s="41"/>
    </row>
    <row r="165">
      <c r="D165" s="41"/>
    </row>
    <row r="166">
      <c r="D166" s="41"/>
    </row>
    <row r="167">
      <c r="D167" s="41"/>
    </row>
    <row r="168">
      <c r="D168" s="41"/>
    </row>
    <row r="169">
      <c r="D169" s="41"/>
    </row>
    <row r="170">
      <c r="D170" s="41"/>
    </row>
    <row r="171">
      <c r="D171" s="41"/>
    </row>
    <row r="172">
      <c r="D172" s="41"/>
    </row>
    <row r="173">
      <c r="D173" s="41"/>
    </row>
    <row r="174">
      <c r="D174" s="41"/>
    </row>
    <row r="175">
      <c r="D175" s="41"/>
    </row>
    <row r="176">
      <c r="D176" s="41"/>
    </row>
    <row r="177">
      <c r="D177" s="41"/>
    </row>
    <row r="178">
      <c r="D178" s="41"/>
    </row>
    <row r="179">
      <c r="D179" s="41"/>
    </row>
    <row r="180">
      <c r="D180" s="41"/>
    </row>
    <row r="181">
      <c r="D181" s="41"/>
    </row>
    <row r="182">
      <c r="D182" s="41"/>
    </row>
    <row r="183">
      <c r="D183" s="41"/>
    </row>
    <row r="184">
      <c r="D184" s="41"/>
    </row>
    <row r="185">
      <c r="D185" s="41"/>
    </row>
    <row r="186">
      <c r="D186" s="41"/>
    </row>
    <row r="187">
      <c r="D187" s="41"/>
    </row>
    <row r="188">
      <c r="D188" s="41"/>
    </row>
    <row r="189">
      <c r="D189" s="41"/>
    </row>
    <row r="190">
      <c r="D190" s="41"/>
    </row>
    <row r="191">
      <c r="D191" s="41"/>
    </row>
    <row r="192">
      <c r="D192" s="41"/>
    </row>
    <row r="193">
      <c r="D193" s="41"/>
    </row>
    <row r="194">
      <c r="D194" s="41"/>
    </row>
    <row r="195">
      <c r="D195" s="41"/>
    </row>
    <row r="196">
      <c r="D196" s="41"/>
    </row>
    <row r="197">
      <c r="D197" s="41"/>
    </row>
    <row r="198">
      <c r="D198" s="41"/>
    </row>
    <row r="199">
      <c r="D199" s="41"/>
    </row>
    <row r="200">
      <c r="D200" s="41"/>
    </row>
    <row r="201">
      <c r="D201" s="41"/>
    </row>
    <row r="202">
      <c r="D202" s="41"/>
    </row>
    <row r="203">
      <c r="D203" s="41"/>
    </row>
    <row r="204">
      <c r="D204" s="41"/>
    </row>
    <row r="205">
      <c r="D205" s="41"/>
    </row>
    <row r="206">
      <c r="D206" s="41"/>
    </row>
    <row r="207">
      <c r="D207" s="41"/>
    </row>
    <row r="208">
      <c r="D208" s="41"/>
    </row>
    <row r="209">
      <c r="D209" s="41"/>
    </row>
    <row r="210">
      <c r="D210" s="41"/>
    </row>
    <row r="211">
      <c r="D211" s="41"/>
    </row>
    <row r="212">
      <c r="D212" s="41"/>
    </row>
    <row r="213">
      <c r="D213" s="41"/>
    </row>
    <row r="214">
      <c r="D214" s="41"/>
    </row>
    <row r="215">
      <c r="D215" s="41"/>
    </row>
    <row r="216">
      <c r="D216" s="41"/>
    </row>
    <row r="217">
      <c r="D217" s="41"/>
    </row>
    <row r="218">
      <c r="D218" s="41"/>
    </row>
    <row r="219">
      <c r="D219" s="41"/>
    </row>
    <row r="220">
      <c r="D220" s="41"/>
    </row>
    <row r="221">
      <c r="D221" s="41"/>
    </row>
    <row r="222">
      <c r="D222" s="41"/>
    </row>
    <row r="223">
      <c r="D223" s="41"/>
    </row>
    <row r="224">
      <c r="D224" s="41"/>
    </row>
    <row r="225">
      <c r="D225" s="41"/>
    </row>
    <row r="226">
      <c r="D226" s="41"/>
    </row>
    <row r="227">
      <c r="D227" s="41"/>
    </row>
    <row r="228">
      <c r="D228" s="41"/>
    </row>
    <row r="229">
      <c r="D229" s="41"/>
    </row>
    <row r="230">
      <c r="D230" s="41"/>
    </row>
    <row r="231">
      <c r="D231" s="41"/>
    </row>
    <row r="232">
      <c r="D232" s="41"/>
    </row>
    <row r="233">
      <c r="D233" s="41"/>
    </row>
    <row r="234">
      <c r="D234" s="41"/>
    </row>
    <row r="235">
      <c r="D235" s="41"/>
    </row>
    <row r="236">
      <c r="D236" s="41"/>
    </row>
    <row r="237">
      <c r="D237" s="41"/>
    </row>
    <row r="238">
      <c r="D238" s="41"/>
    </row>
    <row r="239">
      <c r="D239" s="41"/>
    </row>
    <row r="240">
      <c r="D240" s="41"/>
    </row>
    <row r="241">
      <c r="D241" s="41"/>
    </row>
    <row r="242">
      <c r="D242" s="41"/>
    </row>
    <row r="243">
      <c r="D243" s="41"/>
    </row>
    <row r="244">
      <c r="D244" s="41"/>
    </row>
    <row r="245">
      <c r="D245" s="41"/>
    </row>
    <row r="246">
      <c r="D246" s="41"/>
    </row>
    <row r="247">
      <c r="D247" s="41"/>
    </row>
    <row r="248">
      <c r="D248" s="41"/>
    </row>
    <row r="249">
      <c r="D249" s="41"/>
    </row>
    <row r="250">
      <c r="D250" s="41"/>
    </row>
    <row r="251">
      <c r="D251" s="41"/>
    </row>
    <row r="252">
      <c r="D252" s="41"/>
    </row>
    <row r="253">
      <c r="D253" s="41"/>
    </row>
    <row r="254">
      <c r="D254" s="41"/>
    </row>
    <row r="255">
      <c r="D255" s="41"/>
    </row>
    <row r="256">
      <c r="D256" s="41"/>
    </row>
    <row r="257">
      <c r="D257" s="41"/>
    </row>
    <row r="258">
      <c r="D258" s="41"/>
    </row>
    <row r="259">
      <c r="D259" s="41"/>
    </row>
    <row r="260">
      <c r="D260" s="41"/>
    </row>
    <row r="261">
      <c r="D261" s="41"/>
    </row>
    <row r="262">
      <c r="D262" s="41"/>
    </row>
    <row r="263">
      <c r="D263" s="41"/>
    </row>
    <row r="264">
      <c r="D264" s="41"/>
    </row>
    <row r="265">
      <c r="D265" s="41"/>
    </row>
    <row r="266">
      <c r="D266" s="41"/>
    </row>
    <row r="267">
      <c r="D267" s="41"/>
    </row>
    <row r="268">
      <c r="D268" s="41"/>
    </row>
    <row r="269">
      <c r="D269" s="41"/>
    </row>
    <row r="270">
      <c r="D270" s="41"/>
    </row>
    <row r="271">
      <c r="D271" s="41"/>
    </row>
    <row r="272">
      <c r="D272" s="41"/>
    </row>
    <row r="273">
      <c r="D273" s="41"/>
    </row>
    <row r="274">
      <c r="D274" s="41"/>
    </row>
    <row r="275">
      <c r="D275" s="41"/>
    </row>
    <row r="276">
      <c r="D276" s="41"/>
    </row>
    <row r="277">
      <c r="D277" s="41"/>
    </row>
    <row r="278">
      <c r="D278" s="41"/>
    </row>
    <row r="279">
      <c r="D279" s="41"/>
    </row>
    <row r="280">
      <c r="D280" s="41"/>
    </row>
    <row r="281">
      <c r="D281" s="41"/>
    </row>
    <row r="282">
      <c r="D282" s="41"/>
    </row>
    <row r="283">
      <c r="D283" s="41"/>
    </row>
    <row r="284">
      <c r="D284" s="41"/>
    </row>
    <row r="285">
      <c r="D285" s="41"/>
    </row>
    <row r="286">
      <c r="D286" s="41"/>
    </row>
    <row r="287">
      <c r="D287" s="41"/>
    </row>
    <row r="288">
      <c r="D288" s="41"/>
    </row>
    <row r="289">
      <c r="D289" s="41"/>
    </row>
    <row r="290">
      <c r="D290" s="41"/>
    </row>
    <row r="291">
      <c r="D291" s="41"/>
    </row>
    <row r="292">
      <c r="D292" s="41"/>
    </row>
    <row r="293">
      <c r="D293" s="41"/>
    </row>
    <row r="294">
      <c r="D294" s="41"/>
    </row>
    <row r="295">
      <c r="D295" s="41"/>
    </row>
    <row r="296">
      <c r="D296" s="41"/>
    </row>
    <row r="297">
      <c r="D297" s="41"/>
    </row>
    <row r="298">
      <c r="D298" s="41"/>
    </row>
    <row r="299">
      <c r="D299" s="41"/>
    </row>
    <row r="300">
      <c r="D300" s="41"/>
    </row>
    <row r="301">
      <c r="D301" s="41"/>
    </row>
    <row r="302">
      <c r="D302" s="41"/>
    </row>
    <row r="303">
      <c r="D303" s="41"/>
    </row>
    <row r="304">
      <c r="D304" s="41"/>
    </row>
    <row r="305">
      <c r="D305" s="41"/>
    </row>
    <row r="306">
      <c r="D306" s="41"/>
    </row>
    <row r="307">
      <c r="D307" s="41"/>
    </row>
    <row r="308">
      <c r="D308" s="41"/>
    </row>
    <row r="309">
      <c r="D309" s="41"/>
    </row>
    <row r="310">
      <c r="D310" s="41"/>
    </row>
    <row r="311">
      <c r="D311" s="41"/>
    </row>
    <row r="312">
      <c r="D312" s="41"/>
    </row>
    <row r="313">
      <c r="D313" s="41"/>
    </row>
    <row r="314">
      <c r="D314" s="41"/>
    </row>
    <row r="315">
      <c r="D315" s="41"/>
    </row>
    <row r="316">
      <c r="D316" s="41"/>
    </row>
    <row r="317">
      <c r="D317" s="41"/>
    </row>
    <row r="318">
      <c r="D318" s="41"/>
    </row>
    <row r="319">
      <c r="D319" s="41"/>
    </row>
    <row r="320">
      <c r="D320" s="41"/>
    </row>
    <row r="321">
      <c r="D321" s="41"/>
    </row>
    <row r="322">
      <c r="D322" s="41"/>
    </row>
    <row r="323">
      <c r="D323" s="41"/>
    </row>
    <row r="324">
      <c r="D324" s="41"/>
    </row>
    <row r="325">
      <c r="D325" s="41"/>
    </row>
    <row r="326">
      <c r="D326" s="41"/>
    </row>
    <row r="327">
      <c r="D327" s="41"/>
    </row>
    <row r="328">
      <c r="D328" s="41"/>
    </row>
    <row r="329">
      <c r="D329" s="41"/>
    </row>
    <row r="330">
      <c r="D330" s="41"/>
    </row>
    <row r="331">
      <c r="D331" s="41"/>
    </row>
    <row r="332">
      <c r="D332" s="41"/>
    </row>
    <row r="333">
      <c r="D333" s="41"/>
    </row>
    <row r="334">
      <c r="D334" s="41"/>
    </row>
    <row r="335">
      <c r="D335" s="41"/>
    </row>
    <row r="336">
      <c r="D336" s="41"/>
    </row>
    <row r="337">
      <c r="D337" s="41"/>
    </row>
    <row r="338">
      <c r="D338" s="41"/>
    </row>
    <row r="339">
      <c r="D339" s="41"/>
    </row>
    <row r="340">
      <c r="D340" s="41"/>
    </row>
    <row r="341">
      <c r="D341" s="41"/>
    </row>
    <row r="342">
      <c r="D342" s="41"/>
    </row>
    <row r="343">
      <c r="D343" s="41"/>
    </row>
    <row r="344">
      <c r="D344" s="41"/>
    </row>
    <row r="345">
      <c r="D345" s="41"/>
    </row>
    <row r="346">
      <c r="D346" s="41"/>
    </row>
    <row r="347">
      <c r="D347" s="41"/>
    </row>
    <row r="348">
      <c r="D348" s="41"/>
    </row>
    <row r="349">
      <c r="D349" s="41"/>
    </row>
    <row r="350">
      <c r="D350" s="41"/>
    </row>
    <row r="351">
      <c r="D351" s="41"/>
    </row>
    <row r="352">
      <c r="D352" s="41"/>
    </row>
    <row r="353">
      <c r="D353" s="41"/>
    </row>
    <row r="354">
      <c r="D354" s="41"/>
    </row>
    <row r="355">
      <c r="D355" s="41"/>
    </row>
    <row r="356">
      <c r="D356" s="41"/>
    </row>
    <row r="357">
      <c r="D357" s="41"/>
    </row>
    <row r="358">
      <c r="D358" s="41"/>
    </row>
    <row r="359">
      <c r="D359" s="41"/>
    </row>
    <row r="360">
      <c r="D360" s="41"/>
    </row>
    <row r="361">
      <c r="D361" s="41"/>
    </row>
    <row r="362">
      <c r="D362" s="41"/>
    </row>
    <row r="363">
      <c r="D363" s="41"/>
    </row>
    <row r="364">
      <c r="D364" s="41"/>
    </row>
    <row r="365">
      <c r="D365" s="41"/>
    </row>
    <row r="366">
      <c r="D366" s="41"/>
    </row>
    <row r="367">
      <c r="D367" s="41"/>
    </row>
    <row r="368">
      <c r="D368" s="41"/>
    </row>
    <row r="369">
      <c r="D369" s="41"/>
    </row>
    <row r="370">
      <c r="D370" s="41"/>
    </row>
    <row r="371">
      <c r="D371" s="41"/>
    </row>
    <row r="372">
      <c r="D372" s="41"/>
    </row>
    <row r="373">
      <c r="D373" s="41"/>
    </row>
    <row r="374">
      <c r="D374" s="41"/>
    </row>
    <row r="375">
      <c r="D375" s="41"/>
    </row>
    <row r="376">
      <c r="D376" s="41"/>
    </row>
    <row r="377">
      <c r="D377" s="41"/>
    </row>
    <row r="378">
      <c r="D378" s="41"/>
    </row>
    <row r="379">
      <c r="D379" s="41"/>
    </row>
    <row r="380">
      <c r="D380" s="41"/>
    </row>
    <row r="381">
      <c r="D381" s="41"/>
    </row>
    <row r="382">
      <c r="D382" s="41"/>
    </row>
    <row r="383">
      <c r="D383" s="41"/>
    </row>
    <row r="384">
      <c r="D384" s="41"/>
    </row>
    <row r="385">
      <c r="D385" s="41"/>
    </row>
    <row r="386">
      <c r="D386" s="41"/>
    </row>
    <row r="387">
      <c r="D387" s="41"/>
    </row>
    <row r="388">
      <c r="D388" s="41"/>
    </row>
    <row r="389">
      <c r="D389" s="41"/>
    </row>
    <row r="390">
      <c r="D390" s="41"/>
    </row>
    <row r="391">
      <c r="D391" s="41"/>
    </row>
    <row r="392">
      <c r="D392" s="41"/>
    </row>
    <row r="393">
      <c r="D393" s="41"/>
    </row>
    <row r="394">
      <c r="D394" s="41"/>
    </row>
    <row r="395">
      <c r="D395" s="41"/>
    </row>
    <row r="396">
      <c r="D396" s="41"/>
    </row>
    <row r="397">
      <c r="D397" s="41"/>
    </row>
    <row r="398">
      <c r="D398" s="41"/>
    </row>
    <row r="399">
      <c r="D399" s="41"/>
    </row>
    <row r="400">
      <c r="D400" s="41"/>
    </row>
    <row r="401">
      <c r="D401" s="41"/>
    </row>
    <row r="402">
      <c r="D402" s="41"/>
    </row>
    <row r="403">
      <c r="D403" s="41"/>
    </row>
    <row r="404">
      <c r="D404" s="41"/>
    </row>
    <row r="405">
      <c r="D405" s="41"/>
    </row>
    <row r="406">
      <c r="D406" s="41"/>
    </row>
    <row r="407">
      <c r="D407" s="41"/>
    </row>
    <row r="408">
      <c r="D408" s="41"/>
    </row>
    <row r="409">
      <c r="D409" s="41"/>
    </row>
    <row r="410">
      <c r="D410" s="41"/>
    </row>
    <row r="411">
      <c r="D411" s="41"/>
    </row>
    <row r="412">
      <c r="D412" s="41"/>
    </row>
    <row r="413">
      <c r="D413" s="41"/>
    </row>
    <row r="414">
      <c r="D414" s="41"/>
    </row>
    <row r="415">
      <c r="D415" s="41"/>
    </row>
    <row r="416">
      <c r="D416" s="41"/>
    </row>
    <row r="417">
      <c r="D417" s="41"/>
    </row>
    <row r="418">
      <c r="D418" s="41"/>
    </row>
    <row r="419">
      <c r="D419" s="41"/>
    </row>
    <row r="420">
      <c r="D420" s="41"/>
    </row>
    <row r="421">
      <c r="D421" s="41"/>
    </row>
    <row r="422">
      <c r="D422" s="41"/>
    </row>
    <row r="423">
      <c r="D423" s="41"/>
    </row>
    <row r="424">
      <c r="D424" s="41"/>
    </row>
    <row r="425">
      <c r="D425" s="41"/>
    </row>
    <row r="426">
      <c r="D426" s="41"/>
    </row>
    <row r="427">
      <c r="D427" s="41"/>
    </row>
    <row r="428">
      <c r="D428" s="41"/>
    </row>
    <row r="429">
      <c r="D429" s="41"/>
    </row>
    <row r="430">
      <c r="D430" s="41"/>
    </row>
    <row r="431">
      <c r="D431" s="41"/>
    </row>
    <row r="432">
      <c r="D432" s="41"/>
    </row>
    <row r="433">
      <c r="D433" s="41"/>
    </row>
    <row r="434">
      <c r="D434" s="41"/>
    </row>
    <row r="435">
      <c r="D435" s="41"/>
    </row>
    <row r="436">
      <c r="D436" s="41"/>
    </row>
    <row r="437">
      <c r="D437" s="41"/>
    </row>
    <row r="438">
      <c r="D438" s="41"/>
    </row>
    <row r="439">
      <c r="D439" s="41"/>
    </row>
    <row r="440">
      <c r="D440" s="41"/>
    </row>
    <row r="441">
      <c r="D441" s="41"/>
    </row>
    <row r="442">
      <c r="D442" s="41"/>
    </row>
    <row r="443">
      <c r="D443" s="41"/>
    </row>
    <row r="444">
      <c r="D444" s="41"/>
    </row>
    <row r="445">
      <c r="D445" s="41"/>
    </row>
    <row r="446">
      <c r="D446" s="41"/>
    </row>
    <row r="447">
      <c r="D447" s="41"/>
    </row>
    <row r="448">
      <c r="D448" s="41"/>
    </row>
    <row r="449">
      <c r="D449" s="41"/>
    </row>
    <row r="450">
      <c r="D450" s="41"/>
    </row>
    <row r="451">
      <c r="D451" s="41"/>
    </row>
    <row r="452">
      <c r="D452" s="41"/>
    </row>
    <row r="453">
      <c r="D453" s="41"/>
    </row>
    <row r="454">
      <c r="D454" s="41"/>
    </row>
    <row r="455">
      <c r="D455" s="41"/>
    </row>
    <row r="456">
      <c r="D456" s="41"/>
    </row>
    <row r="457">
      <c r="D457" s="41"/>
    </row>
    <row r="458">
      <c r="D458" s="41"/>
    </row>
    <row r="459">
      <c r="D459" s="41"/>
    </row>
    <row r="460">
      <c r="D460" s="41"/>
    </row>
    <row r="461">
      <c r="D461" s="41"/>
    </row>
    <row r="462">
      <c r="D462" s="41"/>
    </row>
    <row r="463">
      <c r="D463" s="41"/>
    </row>
    <row r="464">
      <c r="D464" s="41"/>
    </row>
    <row r="465">
      <c r="D465" s="41"/>
    </row>
    <row r="466">
      <c r="D466" s="41"/>
    </row>
    <row r="467">
      <c r="D467" s="41"/>
    </row>
    <row r="468">
      <c r="D468" s="41"/>
    </row>
    <row r="469">
      <c r="D469" s="41"/>
    </row>
    <row r="470">
      <c r="D470" s="41"/>
    </row>
    <row r="471">
      <c r="D471" s="41"/>
    </row>
    <row r="472">
      <c r="D472" s="41"/>
    </row>
    <row r="473">
      <c r="D473" s="41"/>
    </row>
    <row r="474">
      <c r="D474" s="41"/>
    </row>
    <row r="475">
      <c r="D475" s="41"/>
    </row>
    <row r="476">
      <c r="D476" s="41"/>
    </row>
    <row r="477">
      <c r="D477" s="41"/>
    </row>
    <row r="478">
      <c r="D478" s="41"/>
    </row>
    <row r="479">
      <c r="D479" s="41"/>
    </row>
    <row r="480">
      <c r="D480" s="41"/>
    </row>
    <row r="481">
      <c r="D481" s="41"/>
    </row>
    <row r="482">
      <c r="D482" s="41"/>
    </row>
    <row r="483">
      <c r="D483" s="41"/>
    </row>
    <row r="484">
      <c r="D484" s="41"/>
    </row>
    <row r="485">
      <c r="D485" s="41"/>
    </row>
    <row r="486">
      <c r="D486" s="41"/>
    </row>
    <row r="487">
      <c r="D487" s="41"/>
    </row>
    <row r="488">
      <c r="D488" s="41"/>
    </row>
    <row r="489">
      <c r="D489" s="41"/>
    </row>
    <row r="490">
      <c r="D490" s="41"/>
    </row>
    <row r="491">
      <c r="D491" s="41"/>
    </row>
    <row r="492">
      <c r="D492" s="41"/>
    </row>
    <row r="493">
      <c r="D493" s="41"/>
    </row>
    <row r="494">
      <c r="D494" s="41"/>
    </row>
    <row r="495">
      <c r="D495" s="41"/>
    </row>
    <row r="496">
      <c r="D496" s="41"/>
    </row>
    <row r="497">
      <c r="D497" s="41"/>
    </row>
    <row r="498">
      <c r="D498" s="41"/>
    </row>
    <row r="499">
      <c r="D499" s="41"/>
    </row>
    <row r="500">
      <c r="D500" s="41"/>
    </row>
    <row r="501">
      <c r="D501" s="41"/>
    </row>
    <row r="502">
      <c r="D502" s="41"/>
    </row>
    <row r="503">
      <c r="D503" s="41"/>
    </row>
    <row r="504">
      <c r="D504" s="41"/>
    </row>
    <row r="505">
      <c r="D505" s="41"/>
    </row>
    <row r="506">
      <c r="D506" s="41"/>
    </row>
    <row r="507">
      <c r="D507" s="41"/>
    </row>
    <row r="508">
      <c r="D508" s="41"/>
    </row>
    <row r="509">
      <c r="D509" s="41"/>
    </row>
    <row r="510">
      <c r="D510" s="41"/>
    </row>
    <row r="511">
      <c r="D511" s="41"/>
    </row>
    <row r="512">
      <c r="D512" s="41"/>
    </row>
    <row r="513">
      <c r="D513" s="41"/>
    </row>
    <row r="514">
      <c r="D514" s="41"/>
    </row>
    <row r="515">
      <c r="D515" s="41"/>
    </row>
    <row r="516">
      <c r="D516" s="41"/>
    </row>
    <row r="517">
      <c r="D517" s="41"/>
    </row>
    <row r="518">
      <c r="D518" s="41"/>
    </row>
    <row r="519">
      <c r="D519" s="41"/>
    </row>
    <row r="520">
      <c r="D520" s="41"/>
    </row>
    <row r="521">
      <c r="D521" s="41"/>
    </row>
    <row r="522">
      <c r="D522" s="41"/>
    </row>
    <row r="523">
      <c r="D523" s="41"/>
    </row>
    <row r="524">
      <c r="D524" s="41"/>
    </row>
    <row r="525">
      <c r="D525" s="41"/>
    </row>
    <row r="526">
      <c r="D526" s="41"/>
    </row>
    <row r="527">
      <c r="D527" s="41"/>
    </row>
    <row r="528">
      <c r="D528" s="41"/>
    </row>
    <row r="529">
      <c r="D529" s="41"/>
    </row>
    <row r="530">
      <c r="D530" s="41"/>
    </row>
    <row r="531">
      <c r="D531" s="41"/>
    </row>
    <row r="532">
      <c r="D532" s="41"/>
    </row>
    <row r="533">
      <c r="D533" s="41"/>
    </row>
    <row r="534">
      <c r="D534" s="41"/>
    </row>
    <row r="535">
      <c r="D535" s="41"/>
    </row>
    <row r="536">
      <c r="D536" s="41"/>
    </row>
    <row r="537">
      <c r="D537" s="41"/>
    </row>
    <row r="538">
      <c r="D538" s="41"/>
    </row>
    <row r="539">
      <c r="D539" s="41"/>
    </row>
    <row r="540">
      <c r="D540" s="41"/>
    </row>
    <row r="541">
      <c r="D541" s="41"/>
    </row>
    <row r="542">
      <c r="D542" s="41"/>
    </row>
    <row r="543">
      <c r="D543" s="41"/>
    </row>
    <row r="544">
      <c r="D544" s="41"/>
    </row>
    <row r="545">
      <c r="D545" s="41"/>
    </row>
    <row r="546">
      <c r="D546" s="41"/>
    </row>
    <row r="547">
      <c r="D547" s="41"/>
    </row>
    <row r="548">
      <c r="D548" s="41"/>
    </row>
    <row r="549">
      <c r="D549" s="41"/>
    </row>
    <row r="550">
      <c r="D550" s="41"/>
    </row>
    <row r="551">
      <c r="D551" s="41"/>
    </row>
    <row r="552">
      <c r="D552" s="41"/>
    </row>
    <row r="553">
      <c r="D553" s="41"/>
    </row>
    <row r="554">
      <c r="D554" s="41"/>
    </row>
    <row r="555">
      <c r="D555" s="41"/>
    </row>
    <row r="556">
      <c r="D556" s="41"/>
    </row>
    <row r="557">
      <c r="D557" s="41"/>
    </row>
    <row r="558">
      <c r="D558" s="41"/>
    </row>
    <row r="559">
      <c r="D559" s="41"/>
    </row>
    <row r="560">
      <c r="D560" s="41"/>
    </row>
    <row r="561">
      <c r="D561" s="41"/>
    </row>
    <row r="562">
      <c r="D562" s="41"/>
    </row>
    <row r="563">
      <c r="D563" s="41"/>
    </row>
    <row r="564">
      <c r="D564" s="41"/>
    </row>
    <row r="565">
      <c r="D565" s="41"/>
    </row>
    <row r="566">
      <c r="D566" s="41"/>
    </row>
    <row r="567">
      <c r="D567" s="41"/>
    </row>
    <row r="568">
      <c r="D568" s="41"/>
    </row>
    <row r="569">
      <c r="D569" s="41"/>
    </row>
    <row r="570">
      <c r="D570" s="41"/>
    </row>
    <row r="571">
      <c r="D571" s="41"/>
    </row>
    <row r="572">
      <c r="D572" s="41"/>
    </row>
    <row r="573">
      <c r="D573" s="41"/>
    </row>
    <row r="574">
      <c r="D574" s="41"/>
    </row>
    <row r="575">
      <c r="D575" s="41"/>
    </row>
    <row r="576">
      <c r="D576" s="41"/>
    </row>
    <row r="577">
      <c r="D577" s="41"/>
    </row>
    <row r="578">
      <c r="D578" s="41"/>
    </row>
    <row r="579">
      <c r="D579" s="41"/>
    </row>
    <row r="580">
      <c r="D580" s="41"/>
    </row>
    <row r="581">
      <c r="D581" s="41"/>
    </row>
    <row r="582">
      <c r="D582" s="41"/>
    </row>
    <row r="583">
      <c r="D583" s="41"/>
    </row>
    <row r="584">
      <c r="D584" s="41"/>
    </row>
    <row r="585">
      <c r="D585" s="41"/>
    </row>
    <row r="586">
      <c r="D586" s="41"/>
    </row>
    <row r="587">
      <c r="D587" s="41"/>
    </row>
    <row r="588">
      <c r="D588" s="41"/>
    </row>
    <row r="589">
      <c r="D589" s="41"/>
    </row>
    <row r="590">
      <c r="D590" s="41"/>
    </row>
    <row r="591">
      <c r="D591" s="41"/>
    </row>
    <row r="592">
      <c r="D592" s="41"/>
    </row>
    <row r="593">
      <c r="D593" s="41"/>
    </row>
    <row r="594">
      <c r="D594" s="41"/>
    </row>
    <row r="595">
      <c r="D595" s="41"/>
    </row>
    <row r="596">
      <c r="D596" s="41"/>
    </row>
    <row r="597">
      <c r="D597" s="41"/>
    </row>
    <row r="598">
      <c r="D598" s="41"/>
    </row>
    <row r="599">
      <c r="D599" s="41"/>
    </row>
    <row r="600">
      <c r="D600" s="41"/>
    </row>
    <row r="601">
      <c r="D601" s="41"/>
    </row>
    <row r="602">
      <c r="D602" s="41"/>
    </row>
    <row r="603">
      <c r="D603" s="41"/>
    </row>
    <row r="604">
      <c r="D604" s="41"/>
    </row>
    <row r="605">
      <c r="D605" s="41"/>
    </row>
    <row r="606">
      <c r="D606" s="41"/>
    </row>
    <row r="607">
      <c r="D607" s="41"/>
    </row>
    <row r="608">
      <c r="D608" s="41"/>
    </row>
    <row r="609">
      <c r="D609" s="41"/>
    </row>
    <row r="610">
      <c r="D610" s="41"/>
    </row>
    <row r="611">
      <c r="D611" s="41"/>
    </row>
    <row r="612">
      <c r="D612" s="41"/>
    </row>
    <row r="613">
      <c r="D613" s="41"/>
    </row>
    <row r="614">
      <c r="D614" s="41"/>
    </row>
    <row r="615">
      <c r="D615" s="41"/>
    </row>
    <row r="616">
      <c r="D616" s="41"/>
    </row>
    <row r="617">
      <c r="D617" s="41"/>
    </row>
    <row r="618">
      <c r="D618" s="41"/>
    </row>
    <row r="619">
      <c r="D619" s="41"/>
    </row>
    <row r="620">
      <c r="D620" s="41"/>
    </row>
    <row r="621">
      <c r="D621" s="41"/>
    </row>
    <row r="622">
      <c r="D622" s="41"/>
    </row>
    <row r="623">
      <c r="D623" s="41"/>
    </row>
    <row r="624">
      <c r="D624" s="41"/>
    </row>
    <row r="625">
      <c r="D625" s="41"/>
    </row>
    <row r="626">
      <c r="D626" s="41"/>
    </row>
    <row r="627">
      <c r="D627" s="41"/>
    </row>
    <row r="628">
      <c r="D628" s="41"/>
    </row>
    <row r="629">
      <c r="D629" s="41"/>
    </row>
    <row r="630">
      <c r="D630" s="41"/>
    </row>
    <row r="631">
      <c r="D631" s="41"/>
    </row>
    <row r="632">
      <c r="D632" s="41"/>
    </row>
    <row r="633">
      <c r="D633" s="41"/>
    </row>
    <row r="634">
      <c r="D634" s="41"/>
    </row>
    <row r="635">
      <c r="D635" s="41"/>
    </row>
    <row r="636">
      <c r="D636" s="41"/>
    </row>
    <row r="637">
      <c r="D637" s="41"/>
    </row>
    <row r="638">
      <c r="D638" s="41"/>
    </row>
    <row r="639">
      <c r="D639" s="41"/>
    </row>
    <row r="640">
      <c r="D640" s="41"/>
    </row>
    <row r="641">
      <c r="D641" s="41"/>
    </row>
    <row r="642">
      <c r="D642" s="41"/>
    </row>
    <row r="643">
      <c r="D643" s="41"/>
    </row>
    <row r="644">
      <c r="D644" s="41"/>
    </row>
    <row r="645">
      <c r="D645" s="41"/>
    </row>
    <row r="646">
      <c r="D646" s="41"/>
    </row>
    <row r="647">
      <c r="D647" s="41"/>
    </row>
    <row r="648">
      <c r="D648" s="41"/>
    </row>
    <row r="649">
      <c r="D649" s="41"/>
    </row>
    <row r="650">
      <c r="D650" s="41"/>
    </row>
    <row r="651">
      <c r="D651" s="41"/>
    </row>
    <row r="652">
      <c r="D652" s="41"/>
    </row>
    <row r="653">
      <c r="D653" s="41"/>
    </row>
    <row r="654">
      <c r="D654" s="41"/>
    </row>
    <row r="655">
      <c r="D655" s="41"/>
    </row>
    <row r="656">
      <c r="D656" s="41"/>
    </row>
    <row r="657">
      <c r="D657" s="41"/>
    </row>
    <row r="658">
      <c r="D658" s="41"/>
    </row>
    <row r="659">
      <c r="D659" s="41"/>
    </row>
    <row r="660">
      <c r="D660" s="41"/>
    </row>
    <row r="661">
      <c r="D661" s="41"/>
    </row>
    <row r="662">
      <c r="D662" s="41"/>
    </row>
    <row r="663">
      <c r="D663" s="41"/>
    </row>
    <row r="664">
      <c r="D664" s="41"/>
    </row>
    <row r="665">
      <c r="D665" s="41"/>
    </row>
    <row r="666">
      <c r="D666" s="41"/>
    </row>
    <row r="667">
      <c r="D667" s="41"/>
    </row>
    <row r="668">
      <c r="D668" s="41"/>
    </row>
    <row r="669">
      <c r="D669" s="41"/>
    </row>
    <row r="670">
      <c r="D670" s="41"/>
    </row>
    <row r="671">
      <c r="D671" s="41"/>
    </row>
    <row r="672">
      <c r="D672" s="41"/>
    </row>
    <row r="673">
      <c r="D673" s="41"/>
    </row>
    <row r="674">
      <c r="D674" s="41"/>
    </row>
    <row r="675">
      <c r="D675" s="41"/>
    </row>
    <row r="676">
      <c r="D676" s="41"/>
    </row>
    <row r="677">
      <c r="D677" s="41"/>
    </row>
    <row r="678">
      <c r="D678" s="41"/>
    </row>
    <row r="679">
      <c r="D679" s="41"/>
    </row>
    <row r="680">
      <c r="D680" s="41"/>
    </row>
    <row r="681">
      <c r="D681" s="41"/>
    </row>
    <row r="682">
      <c r="D682" s="41"/>
    </row>
    <row r="683">
      <c r="D683" s="41"/>
    </row>
    <row r="684">
      <c r="D684" s="41"/>
    </row>
    <row r="685">
      <c r="D685" s="41"/>
    </row>
    <row r="686">
      <c r="D686" s="41"/>
    </row>
    <row r="687">
      <c r="D687" s="41"/>
    </row>
    <row r="688">
      <c r="D688" s="41"/>
    </row>
    <row r="689">
      <c r="D689" s="41"/>
    </row>
    <row r="690">
      <c r="D690" s="41"/>
    </row>
    <row r="691">
      <c r="D691" s="41"/>
    </row>
    <row r="692">
      <c r="D692" s="41"/>
    </row>
    <row r="693">
      <c r="D693" s="41"/>
    </row>
    <row r="694">
      <c r="D694" s="41"/>
    </row>
    <row r="695">
      <c r="D695" s="41"/>
    </row>
    <row r="696">
      <c r="D696" s="41"/>
    </row>
    <row r="697">
      <c r="D697" s="41"/>
    </row>
    <row r="698">
      <c r="D698" s="41"/>
    </row>
    <row r="699">
      <c r="D699" s="41"/>
    </row>
    <row r="700">
      <c r="D700" s="41"/>
    </row>
    <row r="701">
      <c r="D701" s="41"/>
    </row>
    <row r="702">
      <c r="D702" s="41"/>
    </row>
    <row r="703">
      <c r="D703" s="41"/>
    </row>
    <row r="704">
      <c r="D704" s="41"/>
    </row>
    <row r="705">
      <c r="D705" s="41"/>
    </row>
    <row r="706">
      <c r="D706" s="41"/>
    </row>
    <row r="707">
      <c r="D707" s="41"/>
    </row>
    <row r="708">
      <c r="D708" s="41"/>
    </row>
    <row r="709">
      <c r="D709" s="41"/>
    </row>
    <row r="710">
      <c r="D710" s="41"/>
    </row>
    <row r="711">
      <c r="D711" s="41"/>
    </row>
    <row r="712">
      <c r="D712" s="41"/>
    </row>
    <row r="713">
      <c r="D713" s="41"/>
    </row>
    <row r="714">
      <c r="D714" s="41"/>
    </row>
    <row r="715">
      <c r="D715" s="41"/>
    </row>
    <row r="716">
      <c r="D716" s="41"/>
    </row>
    <row r="717">
      <c r="D717" s="41"/>
    </row>
    <row r="718">
      <c r="D718" s="41"/>
    </row>
    <row r="719">
      <c r="D719" s="41"/>
    </row>
    <row r="720">
      <c r="D720" s="41"/>
    </row>
    <row r="721">
      <c r="D721" s="41"/>
    </row>
    <row r="722">
      <c r="D722" s="41"/>
    </row>
    <row r="723">
      <c r="D723" s="41"/>
    </row>
    <row r="724">
      <c r="D724" s="41"/>
    </row>
    <row r="725">
      <c r="D725" s="41"/>
    </row>
    <row r="726">
      <c r="D726" s="41"/>
    </row>
    <row r="727">
      <c r="D727" s="41"/>
    </row>
    <row r="728">
      <c r="D728" s="41"/>
    </row>
    <row r="729">
      <c r="D729" s="41"/>
    </row>
    <row r="730">
      <c r="D730" s="41"/>
    </row>
    <row r="731">
      <c r="D731" s="41"/>
    </row>
    <row r="732">
      <c r="D732" s="41"/>
    </row>
    <row r="733">
      <c r="D733" s="41"/>
    </row>
    <row r="734">
      <c r="D734" s="41"/>
    </row>
    <row r="735">
      <c r="D735" s="41"/>
    </row>
    <row r="736">
      <c r="D736" s="41"/>
    </row>
    <row r="737">
      <c r="D737" s="41"/>
    </row>
    <row r="738">
      <c r="D738" s="41"/>
    </row>
    <row r="739">
      <c r="D739" s="41"/>
    </row>
    <row r="740">
      <c r="D740" s="41"/>
    </row>
    <row r="741">
      <c r="D741" s="41"/>
    </row>
    <row r="742">
      <c r="D742" s="41"/>
    </row>
    <row r="743">
      <c r="D743" s="41"/>
    </row>
    <row r="744">
      <c r="D744" s="41"/>
    </row>
    <row r="745">
      <c r="D745" s="41"/>
    </row>
    <row r="746">
      <c r="D746" s="41"/>
    </row>
    <row r="747">
      <c r="D747" s="41"/>
    </row>
    <row r="748">
      <c r="D748" s="41"/>
    </row>
    <row r="749">
      <c r="D749" s="41"/>
    </row>
    <row r="750">
      <c r="D750" s="41"/>
    </row>
    <row r="751">
      <c r="D751" s="41"/>
    </row>
    <row r="752">
      <c r="D752" s="41"/>
    </row>
    <row r="753">
      <c r="D753" s="41"/>
    </row>
    <row r="754">
      <c r="D754" s="41"/>
    </row>
    <row r="755">
      <c r="D755" s="41"/>
    </row>
    <row r="756">
      <c r="D756" s="41"/>
    </row>
    <row r="757">
      <c r="D757" s="41"/>
    </row>
    <row r="758">
      <c r="D758" s="41"/>
    </row>
    <row r="759">
      <c r="D759" s="41"/>
    </row>
    <row r="760">
      <c r="D760" s="41"/>
    </row>
    <row r="761">
      <c r="D761" s="41"/>
    </row>
    <row r="762">
      <c r="D762" s="41"/>
    </row>
    <row r="763">
      <c r="D763" s="41"/>
    </row>
    <row r="764">
      <c r="D764" s="41"/>
    </row>
    <row r="765">
      <c r="D765" s="41"/>
    </row>
    <row r="766">
      <c r="D766" s="41"/>
    </row>
    <row r="767">
      <c r="D767" s="41"/>
    </row>
    <row r="768">
      <c r="D768" s="41"/>
    </row>
    <row r="769">
      <c r="D769" s="41"/>
    </row>
    <row r="770">
      <c r="D770" s="41"/>
    </row>
    <row r="771">
      <c r="D771" s="41"/>
    </row>
    <row r="772">
      <c r="D772" s="41"/>
    </row>
    <row r="773">
      <c r="D773" s="41"/>
    </row>
    <row r="774">
      <c r="D774" s="41"/>
    </row>
    <row r="775">
      <c r="D775" s="41"/>
    </row>
    <row r="776">
      <c r="D776" s="41"/>
    </row>
    <row r="777">
      <c r="D777" s="41"/>
    </row>
    <row r="778">
      <c r="D778" s="41"/>
    </row>
    <row r="779">
      <c r="D779" s="41"/>
    </row>
    <row r="780">
      <c r="D780" s="41"/>
    </row>
    <row r="781">
      <c r="D781" s="41"/>
    </row>
    <row r="782">
      <c r="D782" s="41"/>
    </row>
    <row r="783">
      <c r="D783" s="41"/>
    </row>
    <row r="784">
      <c r="D784" s="41"/>
    </row>
    <row r="785">
      <c r="D785" s="41"/>
    </row>
    <row r="786">
      <c r="D786" s="41"/>
    </row>
    <row r="787">
      <c r="D787" s="41"/>
    </row>
    <row r="788">
      <c r="D788" s="41"/>
    </row>
    <row r="789">
      <c r="D789" s="41"/>
    </row>
    <row r="790">
      <c r="D790" s="41"/>
    </row>
    <row r="791">
      <c r="D791" s="41"/>
    </row>
    <row r="792">
      <c r="D792" s="41"/>
    </row>
    <row r="793">
      <c r="D793" s="41"/>
    </row>
    <row r="794">
      <c r="D794" s="41"/>
    </row>
    <row r="795">
      <c r="D795" s="41"/>
    </row>
    <row r="796">
      <c r="D796" s="41"/>
    </row>
    <row r="797">
      <c r="D797" s="41"/>
    </row>
    <row r="798">
      <c r="D798" s="41"/>
    </row>
    <row r="799">
      <c r="D799" s="41"/>
    </row>
    <row r="800">
      <c r="D800" s="41"/>
    </row>
    <row r="801">
      <c r="D801" s="41"/>
    </row>
    <row r="802">
      <c r="D802" s="41"/>
    </row>
    <row r="803">
      <c r="D803" s="41"/>
    </row>
    <row r="804">
      <c r="D804" s="41"/>
    </row>
    <row r="805">
      <c r="D805" s="41"/>
    </row>
    <row r="806">
      <c r="D806" s="41"/>
    </row>
    <row r="807">
      <c r="D807" s="41"/>
    </row>
    <row r="808">
      <c r="D808" s="41"/>
    </row>
    <row r="809">
      <c r="D809" s="41"/>
    </row>
    <row r="810">
      <c r="D810" s="41"/>
    </row>
    <row r="811">
      <c r="D811" s="41"/>
    </row>
    <row r="812">
      <c r="D812" s="41"/>
    </row>
    <row r="813">
      <c r="D813" s="41"/>
    </row>
    <row r="814">
      <c r="D814" s="41"/>
    </row>
    <row r="815">
      <c r="D815" s="41"/>
    </row>
    <row r="816">
      <c r="D816" s="41"/>
    </row>
    <row r="817">
      <c r="D817" s="41"/>
    </row>
    <row r="818">
      <c r="D818" s="41"/>
    </row>
    <row r="819">
      <c r="D819" s="41"/>
    </row>
    <row r="820">
      <c r="D820" s="41"/>
    </row>
    <row r="821">
      <c r="D821" s="41"/>
    </row>
    <row r="822">
      <c r="D822" s="41"/>
    </row>
    <row r="823">
      <c r="D823" s="41"/>
    </row>
    <row r="824">
      <c r="D824" s="41"/>
    </row>
    <row r="825">
      <c r="D825" s="41"/>
    </row>
    <row r="826">
      <c r="D826" s="41"/>
    </row>
    <row r="827">
      <c r="D827" s="41"/>
    </row>
    <row r="828">
      <c r="D828" s="41"/>
    </row>
    <row r="829">
      <c r="D829" s="41"/>
    </row>
    <row r="830">
      <c r="D830" s="41"/>
    </row>
    <row r="831">
      <c r="D831" s="41"/>
    </row>
    <row r="832">
      <c r="D832" s="41"/>
    </row>
    <row r="833">
      <c r="D833" s="41"/>
    </row>
    <row r="834">
      <c r="D834" s="41"/>
    </row>
    <row r="835">
      <c r="D835" s="41"/>
    </row>
    <row r="836">
      <c r="D836" s="41"/>
    </row>
    <row r="837">
      <c r="D837" s="41"/>
    </row>
    <row r="838">
      <c r="D838" s="41"/>
    </row>
    <row r="839">
      <c r="D839" s="41"/>
    </row>
    <row r="840">
      <c r="D840" s="41"/>
    </row>
    <row r="841">
      <c r="D841" s="41"/>
    </row>
    <row r="842">
      <c r="D842" s="41"/>
    </row>
    <row r="843">
      <c r="D843" s="41"/>
    </row>
    <row r="844">
      <c r="D844" s="41"/>
    </row>
    <row r="845">
      <c r="D845" s="41"/>
    </row>
    <row r="846">
      <c r="D846" s="41"/>
    </row>
    <row r="847">
      <c r="D847" s="41"/>
    </row>
    <row r="848">
      <c r="D848" s="41"/>
    </row>
    <row r="849">
      <c r="D849" s="41"/>
    </row>
    <row r="850">
      <c r="D850" s="41"/>
    </row>
    <row r="851">
      <c r="D851" s="41"/>
    </row>
    <row r="852">
      <c r="D852" s="41"/>
    </row>
    <row r="853">
      <c r="D853" s="41"/>
    </row>
    <row r="854">
      <c r="D854" s="41"/>
    </row>
    <row r="855">
      <c r="D855" s="41"/>
    </row>
    <row r="856">
      <c r="D856" s="41"/>
    </row>
    <row r="857">
      <c r="D857" s="41"/>
    </row>
    <row r="858">
      <c r="D858" s="41"/>
    </row>
    <row r="859">
      <c r="D859" s="41"/>
    </row>
    <row r="860">
      <c r="D860" s="41"/>
    </row>
    <row r="861">
      <c r="D861" s="41"/>
    </row>
    <row r="862">
      <c r="D862" s="41"/>
    </row>
    <row r="863">
      <c r="D863" s="41"/>
    </row>
    <row r="864">
      <c r="D864" s="41"/>
    </row>
    <row r="865">
      <c r="D865" s="41"/>
    </row>
    <row r="866">
      <c r="D866" s="41"/>
    </row>
    <row r="867">
      <c r="D867" s="41"/>
    </row>
    <row r="868">
      <c r="D868" s="41"/>
    </row>
    <row r="869">
      <c r="D869" s="41"/>
    </row>
    <row r="870">
      <c r="D870" s="41"/>
    </row>
    <row r="871">
      <c r="D871" s="41"/>
    </row>
    <row r="872">
      <c r="D872" s="41"/>
    </row>
    <row r="873">
      <c r="D873" s="41"/>
    </row>
    <row r="874">
      <c r="D874" s="41"/>
    </row>
    <row r="875">
      <c r="D875" s="41"/>
    </row>
    <row r="876">
      <c r="D876" s="41"/>
    </row>
    <row r="877">
      <c r="D877" s="41"/>
    </row>
    <row r="878">
      <c r="D878" s="41"/>
    </row>
    <row r="879">
      <c r="D879" s="41"/>
    </row>
    <row r="880">
      <c r="D880" s="41"/>
    </row>
    <row r="881">
      <c r="D881" s="41"/>
    </row>
    <row r="882">
      <c r="D882" s="41"/>
    </row>
    <row r="883">
      <c r="D883" s="41"/>
    </row>
    <row r="884">
      <c r="D884" s="41"/>
    </row>
    <row r="885">
      <c r="D885" s="41"/>
    </row>
    <row r="886">
      <c r="D886" s="41"/>
    </row>
    <row r="887">
      <c r="D887" s="41"/>
    </row>
    <row r="888">
      <c r="D888" s="41"/>
    </row>
    <row r="889">
      <c r="D889" s="41"/>
    </row>
    <row r="890">
      <c r="D890" s="41"/>
    </row>
    <row r="891">
      <c r="D891" s="41"/>
    </row>
    <row r="892">
      <c r="D892" s="41"/>
    </row>
    <row r="893">
      <c r="D893" s="41"/>
    </row>
    <row r="894">
      <c r="D894" s="41"/>
    </row>
    <row r="895">
      <c r="D895" s="41"/>
    </row>
    <row r="896">
      <c r="D896" s="41"/>
    </row>
    <row r="897">
      <c r="D897" s="41"/>
    </row>
    <row r="898">
      <c r="D898" s="41"/>
    </row>
    <row r="899">
      <c r="D899" s="41"/>
    </row>
    <row r="900">
      <c r="D900" s="41"/>
    </row>
    <row r="901">
      <c r="D901" s="41"/>
    </row>
    <row r="902">
      <c r="D902" s="41"/>
    </row>
    <row r="903">
      <c r="D903" s="41"/>
    </row>
    <row r="904">
      <c r="D904" s="41"/>
    </row>
    <row r="905">
      <c r="D905" s="41"/>
    </row>
    <row r="906">
      <c r="D906" s="41"/>
    </row>
    <row r="907">
      <c r="D907" s="41"/>
    </row>
    <row r="908">
      <c r="D908" s="41"/>
    </row>
    <row r="909">
      <c r="D909" s="41"/>
    </row>
    <row r="910">
      <c r="D910" s="41"/>
    </row>
    <row r="911">
      <c r="D911" s="41"/>
    </row>
    <row r="912">
      <c r="D912" s="41"/>
    </row>
    <row r="913">
      <c r="D913" s="41"/>
    </row>
    <row r="914">
      <c r="D914" s="41"/>
    </row>
    <row r="915">
      <c r="D915" s="41"/>
    </row>
    <row r="916">
      <c r="D916" s="41"/>
    </row>
    <row r="917">
      <c r="D917" s="41"/>
    </row>
    <row r="918">
      <c r="D918" s="41"/>
    </row>
    <row r="919">
      <c r="D919" s="41"/>
    </row>
    <row r="920">
      <c r="D920" s="41"/>
    </row>
    <row r="921">
      <c r="D921" s="41"/>
    </row>
    <row r="922">
      <c r="D922" s="41"/>
    </row>
    <row r="923">
      <c r="D923" s="41"/>
    </row>
    <row r="924">
      <c r="D924" s="41"/>
    </row>
    <row r="925">
      <c r="D925" s="41"/>
    </row>
    <row r="926">
      <c r="D926" s="41"/>
    </row>
    <row r="927">
      <c r="D927" s="41"/>
    </row>
    <row r="928">
      <c r="D928" s="41"/>
    </row>
    <row r="929">
      <c r="D929" s="41"/>
    </row>
    <row r="930">
      <c r="D930" s="41"/>
    </row>
    <row r="931">
      <c r="D931" s="41"/>
    </row>
    <row r="932">
      <c r="D932" s="41"/>
    </row>
    <row r="933">
      <c r="D933" s="41"/>
    </row>
    <row r="934">
      <c r="D934" s="41"/>
    </row>
    <row r="935">
      <c r="D935" s="41"/>
    </row>
    <row r="936">
      <c r="D936" s="41"/>
    </row>
    <row r="937">
      <c r="D937" s="41"/>
    </row>
    <row r="938">
      <c r="D938" s="41"/>
    </row>
    <row r="939">
      <c r="D939" s="41"/>
    </row>
    <row r="940">
      <c r="D940" s="41"/>
    </row>
    <row r="941">
      <c r="D941" s="41"/>
    </row>
    <row r="942">
      <c r="D942" s="41"/>
    </row>
    <row r="943">
      <c r="D943" s="41"/>
    </row>
    <row r="944">
      <c r="D944" s="41"/>
    </row>
    <row r="945">
      <c r="D945" s="41"/>
    </row>
    <row r="946">
      <c r="D946" s="41"/>
    </row>
    <row r="947">
      <c r="D947" s="41"/>
    </row>
    <row r="948">
      <c r="D948" s="41"/>
    </row>
    <row r="949">
      <c r="D949" s="41"/>
    </row>
    <row r="950">
      <c r="D950" s="41"/>
    </row>
    <row r="951">
      <c r="D951" s="41"/>
    </row>
    <row r="952">
      <c r="D952" s="41"/>
    </row>
    <row r="953">
      <c r="D953" s="41"/>
    </row>
    <row r="954">
      <c r="D954" s="41"/>
    </row>
    <row r="955">
      <c r="D955" s="41"/>
    </row>
    <row r="956">
      <c r="D956" s="41"/>
    </row>
    <row r="957">
      <c r="D957" s="41"/>
    </row>
    <row r="958">
      <c r="D958" s="41"/>
    </row>
    <row r="959">
      <c r="D959" s="41"/>
    </row>
    <row r="960">
      <c r="D960" s="41"/>
    </row>
    <row r="961">
      <c r="D961" s="41"/>
    </row>
    <row r="962">
      <c r="D962" s="41"/>
    </row>
    <row r="963">
      <c r="D963" s="41"/>
    </row>
    <row r="964">
      <c r="D964" s="41"/>
    </row>
    <row r="965">
      <c r="D965" s="41"/>
    </row>
    <row r="966">
      <c r="D966" s="41"/>
    </row>
    <row r="967">
      <c r="D967" s="41"/>
    </row>
    <row r="968">
      <c r="D968" s="41"/>
    </row>
    <row r="969">
      <c r="D969" s="41"/>
    </row>
    <row r="970">
      <c r="D970" s="41"/>
    </row>
    <row r="971">
      <c r="D971" s="41"/>
    </row>
    <row r="972">
      <c r="D972" s="41"/>
    </row>
    <row r="973">
      <c r="D973" s="41"/>
    </row>
    <row r="974">
      <c r="D974" s="41"/>
    </row>
    <row r="975">
      <c r="D975" s="41"/>
    </row>
    <row r="976">
      <c r="D976" s="41"/>
    </row>
    <row r="977">
      <c r="D977" s="41"/>
    </row>
    <row r="978">
      <c r="D978" s="41"/>
    </row>
    <row r="979">
      <c r="D979" s="41"/>
    </row>
    <row r="980">
      <c r="D980" s="41"/>
    </row>
    <row r="981">
      <c r="D981" s="41"/>
    </row>
    <row r="982">
      <c r="D982" s="41"/>
    </row>
    <row r="983">
      <c r="D983" s="41"/>
    </row>
    <row r="984">
      <c r="D984" s="41"/>
    </row>
    <row r="985">
      <c r="D985" s="41"/>
    </row>
    <row r="986">
      <c r="D986" s="41"/>
    </row>
    <row r="987">
      <c r="D987" s="41"/>
    </row>
    <row r="988">
      <c r="D988" s="41"/>
    </row>
    <row r="989">
      <c r="D989" s="41"/>
    </row>
    <row r="990">
      <c r="D990" s="41"/>
    </row>
    <row r="991">
      <c r="D991" s="41"/>
    </row>
    <row r="992">
      <c r="D992" s="41"/>
    </row>
    <row r="993">
      <c r="D993" s="41"/>
    </row>
    <row r="994">
      <c r="D994" s="41"/>
    </row>
    <row r="995">
      <c r="D995" s="41"/>
    </row>
    <row r="996">
      <c r="D996" s="41"/>
    </row>
    <row r="997">
      <c r="D997" s="41"/>
    </row>
    <row r="998">
      <c r="D998" s="41"/>
    </row>
    <row r="999">
      <c r="D999" s="41"/>
    </row>
    <row r="1000">
      <c r="D1000" s="41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</sheetData>
  <customSheetViews>
    <customSheetView guid="{09A0A77C-57F8-427C-BB2B-86F771C57C5F}" filter="1" showAutoFilter="1">
      <autoFilter ref="$B$2"/>
    </customSheetView>
    <customSheetView guid="{C2A58AB1-EAA8-4392-96FE-BDEBD5B310D7}" filter="1" showAutoFilter="1">
      <autoFilter ref="$H$1:$I$1000"/>
    </customSheetView>
  </customSheetViews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5" t="s">
        <v>394</v>
      </c>
    </row>
    <row r="2">
      <c r="A2" s="5" t="s">
        <v>395</v>
      </c>
      <c r="E2" s="5" t="s">
        <v>396</v>
      </c>
    </row>
    <row r="3">
      <c r="A3" s="5" t="s">
        <v>397</v>
      </c>
    </row>
    <row r="4">
      <c r="A4" s="5" t="s">
        <v>398</v>
      </c>
    </row>
    <row r="5">
      <c r="A5" s="5" t="s">
        <v>399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66.86"/>
    <col customWidth="1" min="2" max="2" width="29.29"/>
  </cols>
  <sheetData>
    <row r="1">
      <c r="A1" s="5" t="s">
        <v>46</v>
      </c>
    </row>
    <row r="2">
      <c r="A2" s="5" t="s">
        <v>36</v>
      </c>
      <c r="B2" s="15"/>
    </row>
    <row r="3">
      <c r="A3" s="5" t="s">
        <v>400</v>
      </c>
      <c r="B3" s="15"/>
    </row>
    <row r="4">
      <c r="A4" s="5" t="s">
        <v>216</v>
      </c>
      <c r="B4" s="15"/>
    </row>
    <row r="5">
      <c r="A5" s="5" t="s">
        <v>42</v>
      </c>
      <c r="B5" s="15"/>
    </row>
    <row r="6">
      <c r="A6" s="5" t="s">
        <v>401</v>
      </c>
      <c r="B6" s="15"/>
    </row>
    <row r="7">
      <c r="A7" s="5" t="s">
        <v>402</v>
      </c>
      <c r="B7" s="15"/>
    </row>
    <row r="8">
      <c r="A8" s="5" t="s">
        <v>66</v>
      </c>
      <c r="B8" s="15"/>
    </row>
  </sheetData>
  <drawing r:id="rId1"/>
</worksheet>
</file>